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LNG_maksājumi_2021\"/>
    </mc:Choice>
  </mc:AlternateContent>
  <xr:revisionPtr revIDLastSave="0" documentId="13_ncr:1_{3A4545DB-7DE2-4E44-B626-9B90E4680559}" xr6:coauthVersionLast="47" xr6:coauthVersionMax="47" xr10:uidLastSave="{00000000-0000-0000-0000-000000000000}"/>
  <bookViews>
    <workbookView xWindow="-120" yWindow="-120" windowWidth="29040" windowHeight="15990" xr2:uid="{4604D519-6F80-4DF1-9967-8419CAE47778}"/>
  </bookViews>
  <sheets>
    <sheet name="kopā" sheetId="10" r:id="rId1"/>
    <sheet name="Ārstniecība" sheetId="7" r:id="rId2"/>
    <sheet name="Laboratorijas" sheetId="8" r:id="rId3"/>
    <sheet name="Vakcinacija" sheetId="9" r:id="rId4"/>
    <sheet name="Piemaksas" sheetId="4" r:id="rId5"/>
    <sheet name="Virsstundas" sheetId="5" r:id="rId6"/>
    <sheet name="Iekārtas" sheetId="6" r:id="rId7"/>
    <sheet name="observācija + IT" sheetId="11" r:id="rId8"/>
    <sheet name="Post_rehab" sheetId="12" r:id="rId9"/>
  </sheets>
  <definedNames>
    <definedName name="_xlnm.Print_Titles" localSheetId="6">Iekārtas!$4:$5</definedName>
    <definedName name="_xlnm.Print_Titles" localSheetId="4">Piemaksas!$4:$5</definedName>
    <definedName name="_xlnm.Print_Titles" localSheetId="8">Post_rehab!$4:$5</definedName>
    <definedName name="_xlnm.Print_Titles" localSheetId="5">Virsstundas!$3:$4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29" i="8"/>
  <c r="C30" i="8"/>
  <c r="C31" i="8"/>
  <c r="C32" i="8"/>
  <c r="C27" i="8"/>
  <c r="J22" i="8"/>
  <c r="J1" i="8"/>
  <c r="C6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7" i="8"/>
  <c r="G1" i="7"/>
  <c r="C6" i="7"/>
  <c r="C7" i="7"/>
  <c r="C30" i="7"/>
  <c r="C29" i="7"/>
  <c r="C28" i="7"/>
  <c r="C22" i="7"/>
  <c r="C27" i="7"/>
  <c r="O6" i="7"/>
  <c r="P6" i="7"/>
  <c r="N6" i="7"/>
  <c r="E2" i="12"/>
  <c r="E1" i="12"/>
  <c r="C8" i="12"/>
  <c r="C7" i="12"/>
  <c r="G6" i="12" l="1"/>
  <c r="G8" i="10"/>
  <c r="G7" i="10"/>
  <c r="G6" i="10"/>
  <c r="J3" i="4"/>
  <c r="J1" i="4"/>
  <c r="C8" i="4"/>
  <c r="C9" i="4"/>
  <c r="C10" i="4"/>
  <c r="C11" i="4"/>
  <c r="C7" i="4"/>
  <c r="R6" i="4"/>
  <c r="P6" i="8"/>
  <c r="C6" i="4" l="1"/>
  <c r="O7" i="7"/>
  <c r="P26" i="8" l="1"/>
  <c r="N27" i="8"/>
  <c r="N18" i="7"/>
  <c r="N17" i="7"/>
  <c r="N16" i="7"/>
  <c r="N15" i="7"/>
  <c r="N13" i="7" l="1"/>
  <c r="N12" i="7"/>
  <c r="P7" i="7" l="1"/>
  <c r="P22" i="7"/>
  <c r="E6" i="7"/>
  <c r="F6" i="7"/>
  <c r="G6" i="7"/>
  <c r="H6" i="7"/>
  <c r="I6" i="7"/>
  <c r="J6" i="7"/>
  <c r="K6" i="7"/>
  <c r="L6" i="7"/>
  <c r="E7" i="7"/>
  <c r="F7" i="7"/>
  <c r="G7" i="7"/>
  <c r="H7" i="7"/>
  <c r="I7" i="7"/>
  <c r="J7" i="7"/>
  <c r="K7" i="7"/>
  <c r="L7" i="7"/>
  <c r="M7" i="7"/>
  <c r="M6" i="7" s="1"/>
  <c r="N7" i="7"/>
  <c r="D6" i="7"/>
  <c r="C8" i="7"/>
  <c r="H33" i="11"/>
  <c r="H1" i="11"/>
  <c r="G2" i="9"/>
  <c r="G1" i="9"/>
  <c r="C24" i="7"/>
  <c r="C25" i="7"/>
  <c r="C26" i="7"/>
  <c r="C23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O22" i="7"/>
  <c r="O26" i="8"/>
  <c r="N18" i="8"/>
  <c r="N17" i="8"/>
  <c r="N10" i="9"/>
  <c r="N8" i="9"/>
  <c r="C26" i="8" l="1"/>
  <c r="C9" i="9"/>
  <c r="C10" i="9"/>
  <c r="C11" i="9"/>
  <c r="C12" i="9"/>
  <c r="C8" i="9"/>
  <c r="N7" i="9"/>
  <c r="C7" i="9" l="1"/>
  <c r="S7" i="4" l="1"/>
  <c r="Q11" i="4" l="1"/>
  <c r="Q7" i="4"/>
  <c r="C8" i="6" l="1"/>
  <c r="C9" i="6"/>
  <c r="C10" i="6"/>
  <c r="C7" i="6"/>
  <c r="AA6" i="6"/>
  <c r="F1" i="6" l="1"/>
  <c r="E9" i="6" l="1"/>
  <c r="D8" i="6" l="1"/>
  <c r="D10" i="6"/>
  <c r="D7" i="6"/>
  <c r="D9" i="6"/>
  <c r="Z6" i="6"/>
  <c r="C38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6" i="11"/>
  <c r="N5" i="11"/>
  <c r="N26" i="8"/>
  <c r="O6" i="8"/>
  <c r="E7" i="9"/>
  <c r="F7" i="9"/>
  <c r="G7" i="9"/>
  <c r="H7" i="9"/>
  <c r="I7" i="9"/>
  <c r="J7" i="9"/>
  <c r="K7" i="9"/>
  <c r="L7" i="9"/>
  <c r="M7" i="9"/>
  <c r="D7" i="9"/>
  <c r="L10" i="9"/>
  <c r="K10" i="9"/>
  <c r="J10" i="9"/>
  <c r="I10" i="9"/>
  <c r="G10" i="9"/>
  <c r="F10" i="9"/>
  <c r="L8" i="9"/>
  <c r="K8" i="9"/>
  <c r="J8" i="9"/>
  <c r="H8" i="9"/>
  <c r="E8" i="9"/>
  <c r="D8" i="9"/>
  <c r="W6" i="6" l="1"/>
  <c r="S6" i="4" l="1"/>
  <c r="C64" i="11"/>
  <c r="C63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5" i="11"/>
  <c r="M37" i="11"/>
  <c r="C37" i="11" l="1"/>
  <c r="P11" i="4" l="1"/>
  <c r="P9" i="4"/>
  <c r="P10" i="4"/>
  <c r="H8" i="10"/>
  <c r="H6" i="10"/>
  <c r="C6" i="5"/>
  <c r="P6" i="4" l="1"/>
  <c r="O5" i="5"/>
  <c r="L6" i="10"/>
  <c r="F7" i="12"/>
  <c r="H28" i="7" l="1"/>
  <c r="N10" i="7"/>
  <c r="N9" i="7"/>
  <c r="N22" i="7"/>
  <c r="M19" i="8"/>
  <c r="M18" i="8"/>
  <c r="M5" i="11"/>
  <c r="X6" i="6" l="1"/>
  <c r="Y6" i="6"/>
  <c r="H5" i="5" l="1"/>
  <c r="O11" i="4"/>
  <c r="F6" i="12" l="1"/>
  <c r="E6" i="12"/>
  <c r="D6" i="12"/>
  <c r="L7" i="10" s="1"/>
  <c r="C6" i="12" l="1"/>
  <c r="L5" i="10" s="1"/>
  <c r="N6" i="8" l="1"/>
  <c r="D5" i="10"/>
  <c r="D8" i="10"/>
  <c r="M6" i="8"/>
  <c r="L20" i="8" l="1"/>
  <c r="L8" i="8"/>
  <c r="L17" i="8"/>
  <c r="D9" i="4" l="1"/>
  <c r="D7" i="4"/>
  <c r="F9" i="4"/>
  <c r="F7" i="4"/>
  <c r="F6" i="4" s="1"/>
  <c r="H9" i="4"/>
  <c r="H7" i="4"/>
  <c r="J7" i="4"/>
  <c r="E6" i="4"/>
  <c r="G6" i="4"/>
  <c r="I6" i="4"/>
  <c r="K6" i="4"/>
  <c r="L6" i="4"/>
  <c r="M6" i="4"/>
  <c r="N6" i="4"/>
  <c r="O6" i="4"/>
  <c r="Q6" i="4"/>
  <c r="D7" i="10"/>
  <c r="C33" i="8"/>
  <c r="E31" i="8"/>
  <c r="D30" i="8"/>
  <c r="D28" i="8"/>
  <c r="M26" i="8"/>
  <c r="L26" i="8"/>
  <c r="K26" i="8"/>
  <c r="J26" i="8"/>
  <c r="I26" i="8"/>
  <c r="H26" i="8"/>
  <c r="G26" i="8"/>
  <c r="F26" i="8"/>
  <c r="E26" i="8"/>
  <c r="D26" i="8"/>
  <c r="I17" i="8"/>
  <c r="I16" i="8"/>
  <c r="I14" i="8"/>
  <c r="I13" i="8"/>
  <c r="I12" i="8"/>
  <c r="I11" i="8"/>
  <c r="I10" i="8"/>
  <c r="I9" i="8"/>
  <c r="L6" i="8"/>
  <c r="I7" i="8"/>
  <c r="I6" i="8" s="1"/>
  <c r="K6" i="8"/>
  <c r="J6" i="8"/>
  <c r="H6" i="8"/>
  <c r="G6" i="8"/>
  <c r="F6" i="8"/>
  <c r="E6" i="8"/>
  <c r="D6" i="8"/>
  <c r="G27" i="7"/>
  <c r="L26" i="7"/>
  <c r="L22" i="7" s="1"/>
  <c r="D25" i="7"/>
  <c r="D22" i="7" s="1"/>
  <c r="K24" i="7"/>
  <c r="J24" i="7"/>
  <c r="D24" i="7"/>
  <c r="J23" i="7"/>
  <c r="J22" i="7" s="1"/>
  <c r="D23" i="7"/>
  <c r="M22" i="7"/>
  <c r="K22" i="7"/>
  <c r="I22" i="7"/>
  <c r="H22" i="7"/>
  <c r="G22" i="7"/>
  <c r="F22" i="7"/>
  <c r="E22" i="7"/>
  <c r="D7" i="7"/>
  <c r="H6" i="4" l="1"/>
  <c r="D6" i="10"/>
  <c r="D6" i="4"/>
  <c r="V6" i="6" l="1"/>
  <c r="K8" i="10"/>
  <c r="L37" i="11"/>
  <c r="T6" i="6" l="1"/>
  <c r="E6" i="10" l="1"/>
  <c r="E5" i="10"/>
  <c r="K5" i="10"/>
  <c r="E8" i="10" l="1"/>
  <c r="F7" i="10"/>
  <c r="K37" i="11"/>
  <c r="J37" i="11"/>
  <c r="I37" i="11"/>
  <c r="H37" i="11"/>
  <c r="G37" i="11"/>
  <c r="F37" i="11"/>
  <c r="K6" i="10" s="1"/>
  <c r="E37" i="11"/>
  <c r="D37" i="11"/>
  <c r="L5" i="11"/>
  <c r="J7" i="10" s="1"/>
  <c r="K5" i="11"/>
  <c r="J5" i="11"/>
  <c r="I5" i="11"/>
  <c r="H5" i="11"/>
  <c r="G5" i="11"/>
  <c r="F5" i="11"/>
  <c r="E10" i="6"/>
  <c r="E8" i="6"/>
  <c r="Q7" i="6"/>
  <c r="E7" i="6"/>
  <c r="U6" i="6"/>
  <c r="S6" i="6"/>
  <c r="R6" i="6"/>
  <c r="P6" i="6"/>
  <c r="O6" i="6"/>
  <c r="N6" i="6"/>
  <c r="M6" i="6"/>
  <c r="L6" i="6"/>
  <c r="K6" i="6"/>
  <c r="J6" i="6"/>
  <c r="I6" i="6"/>
  <c r="H6" i="6"/>
  <c r="G6" i="6"/>
  <c r="J10" i="4"/>
  <c r="J8" i="4"/>
  <c r="Q6" i="6" l="1"/>
  <c r="J6" i="4"/>
  <c r="F9" i="6"/>
  <c r="C7" i="10"/>
  <c r="C6" i="6"/>
  <c r="I5" i="10" s="1"/>
  <c r="D6" i="6"/>
  <c r="F10" i="6"/>
  <c r="F8" i="6"/>
  <c r="C5" i="11"/>
  <c r="J5" i="10" s="1"/>
  <c r="J6" i="10"/>
  <c r="F5" i="10"/>
  <c r="F7" i="6"/>
  <c r="E6" i="6"/>
  <c r="F2" i="6" s="1"/>
  <c r="G5" i="10" l="1"/>
  <c r="I7" i="10"/>
  <c r="B7" i="10" s="1"/>
  <c r="F6" i="6"/>
  <c r="C5" i="10" l="1"/>
  <c r="C6" i="10"/>
  <c r="I6" i="10"/>
  <c r="C8" i="10" l="1"/>
  <c r="I8" i="10"/>
  <c r="B8" i="10" l="1"/>
  <c r="F6" i="10"/>
  <c r="F5" i="5"/>
  <c r="E5" i="5"/>
  <c r="M5" i="5"/>
  <c r="L5" i="5"/>
  <c r="J5" i="5"/>
  <c r="D5" i="5"/>
  <c r="B6" i="10" l="1"/>
  <c r="C5" i="5"/>
  <c r="H5" i="10" s="1"/>
  <c r="B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Gunita Nadziņa</author>
  </authors>
  <commentList>
    <comment ref="N9" authorId="0" shapeId="0" xr:uid="{A9C2B42D-868A-4CB0-813F-8561F10D0578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0" authorId="0" shapeId="0" xr:uid="{A11A0204-9640-4122-AD3F-FB8BB80754CC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2" authorId="0" shapeId="0" xr:uid="{6D59D76B-E4DA-49AE-A9E9-9F2F45F3CA88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3" authorId="0" shapeId="0" xr:uid="{7A3B68AF-522A-42C8-AA6C-88529186A777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5" authorId="0" shapeId="0" xr:uid="{9AC66133-0695-48F7-8BE6-4B1C1D1927B8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6" authorId="0" shapeId="0" xr:uid="{6A2ADFC9-373F-4385-ACC6-96CCA4541900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N18" authorId="0" shapeId="0" xr:uid="{B4B897B7-7364-41E2-9042-068BBD70B8E3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t.sk.korekcijas par iepriekšējiem mēnešiem</t>
        </r>
      </text>
    </comment>
    <comment ref="H28" authorId="0" shapeId="0" xr:uid="{BE8D41EC-25D9-499D-98BA-E2B2954DA19C}">
      <text>
        <r>
          <rPr>
            <b/>
            <sz val="9"/>
            <color indexed="81"/>
            <rFont val="Tahoma"/>
            <family val="2"/>
            <charset val="186"/>
          </rPr>
          <t>Gunita Nadziņa:</t>
        </r>
        <r>
          <rPr>
            <sz val="9"/>
            <color indexed="81"/>
            <rFont val="Tahoma"/>
            <family val="2"/>
            <charset val="186"/>
          </rPr>
          <t xml:space="preserve">
korekcija par jan.,febr.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Zandovska</author>
  </authors>
  <commentList>
    <comment ref="M18" authorId="0" shapeId="0" xr:uid="{A3A7693E-BDFF-4961-8BA3-9A6DCBF19D90}">
      <text>
        <r>
          <rPr>
            <b/>
            <sz val="9"/>
            <color indexed="81"/>
            <rFont val="Tahoma"/>
            <family val="2"/>
            <charset val="186"/>
          </rPr>
          <t>Anita Zandovska:</t>
        </r>
        <r>
          <rPr>
            <sz val="9"/>
            <color indexed="81"/>
            <rFont val="Tahoma"/>
            <family val="2"/>
            <charset val="186"/>
          </rPr>
          <t xml:space="preserve">
korekcijas par iepriekšējiem mēnešiem</t>
        </r>
      </text>
    </comment>
    <comment ref="N18" authorId="0" shapeId="0" xr:uid="{A81EBE58-7B5E-4570-94EE-35EA9E073AB0}">
      <text>
        <r>
          <rPr>
            <b/>
            <sz val="9"/>
            <color indexed="81"/>
            <rFont val="Tahoma"/>
            <family val="2"/>
            <charset val="186"/>
          </rPr>
          <t>Anita Zandovska:</t>
        </r>
        <r>
          <rPr>
            <sz val="9"/>
            <color indexed="81"/>
            <rFont val="Tahoma"/>
            <family val="2"/>
            <charset val="186"/>
          </rPr>
          <t xml:space="preserve">
korekcijas par iepriekšējiem mēnešiem</t>
        </r>
      </text>
    </comment>
  </commentList>
</comments>
</file>

<file path=xl/sharedStrings.xml><?xml version="1.0" encoding="utf-8"?>
<sst xmlns="http://schemas.openxmlformats.org/spreadsheetml/2006/main" count="418" uniqueCount="243">
  <si>
    <t>Izdevumi, kuru segšanai tiek piešķirti LNG - ārstniecība</t>
  </si>
  <si>
    <t>KOPĀ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</si>
  <si>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</si>
  <si>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</si>
  <si>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</si>
  <si>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</si>
  <si>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</si>
  <si>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</si>
  <si>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</si>
  <si>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</si>
  <si>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</si>
  <si>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piešķirts no LNG</t>
  </si>
  <si>
    <t>piešķirts no LNG (04.06.2021. FM 317 MK 345)</t>
  </si>
  <si>
    <t>piešķirts no LNG (22.07.2021. FM 429 MK 494)</t>
  </si>
  <si>
    <t>piešķirts no LNG (27.07.2021. FM 428 MK 503)</t>
  </si>
  <si>
    <t>piešķirts no LNG (19.08.2021. FM 482 MK 531)</t>
  </si>
  <si>
    <r>
      <t>AMBULATORIE PAKALPOJUMI</t>
    </r>
    <r>
      <rPr>
        <sz val="11"/>
        <color theme="1"/>
        <rFont val="Times New Roman"/>
        <family val="1"/>
        <charset val="186"/>
      </rPr>
      <t xml:space="preserve"> (rēķini no VIS)</t>
    </r>
  </si>
  <si>
    <t>Zobārstniecība pakalpojuma summa</t>
  </si>
  <si>
    <t>Manipulācija 47260 Pulsa oksimetra noma par vienu dienu PVA</t>
  </si>
  <si>
    <t>Manipulācija 47260 Pulsa oksimetra noma par vienu dienu SAVA</t>
  </si>
  <si>
    <t>Veiktais darbs CS pacientu grupai</t>
  </si>
  <si>
    <t>Veiktais darbs par ceļa manipulācijām SAVA</t>
  </si>
  <si>
    <t>Veiktais darbs par ceļa manipulācijām PVA</t>
  </si>
  <si>
    <t>Veiktais darbs pacientu grupai M19</t>
  </si>
  <si>
    <t>Veiktais darbs paraugu paņemšanai mājās</t>
  </si>
  <si>
    <t>Veiktais darbs par IAL manipulācijām SAVA</t>
  </si>
  <si>
    <t>Veiktais darbs par IAL manipulācijām veselības aprūpei mājās</t>
  </si>
  <si>
    <t>Veiktais darbs par Covid-19 manipulācijām ģimenes ārstiem</t>
  </si>
  <si>
    <t xml:space="preserve">Manipulāciju izmaksas epidemioloģiskās drošības pasākumu nodrošināšanai, sniedzot SAVA pakalpojumus (60171, 60172); </t>
  </si>
  <si>
    <t>Fiksētā piemaksa Ģimenes ārstu praksēm par IAL izmantošanu</t>
  </si>
  <si>
    <t>Fiksēta piemaksa Feldšeru punktiem par IAL izmantošanu</t>
  </si>
  <si>
    <t>STACIONĀRIE PAKALPOJUMI</t>
  </si>
  <si>
    <t>Individuālo aizsardzības līdzekļu izmaksas</t>
  </si>
  <si>
    <t xml:space="preserve">Korona vīrusa COVID-19 paraugu transportēšanas izmaksas </t>
  </si>
  <si>
    <t>Pacientu ar pozitīvu koronavīrusu COVID-19  transportēšanas uz dzīvesvietu izmaksas</t>
  </si>
  <si>
    <t>Pacientu vai paraugu transports, ja to veikusi cita kompānija un par to slimnīcai piestādīts rēķins</t>
  </si>
  <si>
    <t>Latvijas pasta rēķins</t>
  </si>
  <si>
    <t>Rīgas Austrumu klīniskā universitātes slimnīca, SIA Telefona līnija 8303 pieteikumiem par Covid-19 analīzēm</t>
  </si>
  <si>
    <t>Transporta barotņu molekulāri bioloģiskiem izmeklējumiem nodrošināšana</t>
  </si>
  <si>
    <t>Izdevumi, kuru segšanai tiek piešķirti LNG - laboratorijas</t>
  </si>
  <si>
    <t>Covid-19 pakalpojumu programma laboratorijām</t>
  </si>
  <si>
    <t>piešķirts no LNG (31.03.2021.FM 187 MK 173)</t>
  </si>
  <si>
    <t>piešķirts no LNG (23.04.2021. FM 241 MK 100)</t>
  </si>
  <si>
    <t>piešķirts no LNG (06.05.2021.FM 258 MK 100)</t>
  </si>
  <si>
    <t>piešķirts no LNG (14.05.2021. FM 267 MK 100)</t>
  </si>
  <si>
    <t>piešķirts no LNG (09.07.2021.FM 397 MK 100)</t>
  </si>
  <si>
    <t>piešķirts no LNG (12.08.2021. FM 459 MK 100)</t>
  </si>
  <si>
    <t>piešķirts no LNG (11.08.2021 FM 458; MK 100)</t>
  </si>
  <si>
    <t>Rīgas Austrumu klīniskā universitātes slimnīca, SIA (programma AP82)</t>
  </si>
  <si>
    <t>Rīgas Austrumu klīniskā universitātes slimnīca, SIA (Ref.lab.antivielu testi)</t>
  </si>
  <si>
    <t>Pārtikas drošības, dzīvnieku veselības un vides zinātniskais institūts "BIOR" (EKK 7520) (programma AP82)</t>
  </si>
  <si>
    <t>Dziedniecība, SIA (programma AP82)</t>
  </si>
  <si>
    <t>NMS Laboratorija, SIA (programma AP82)</t>
  </si>
  <si>
    <t>„Centrālā laboratorija” SIA (programma AP82)</t>
  </si>
  <si>
    <t>“E. Gulbja Laboratorija” SIA (programma AP82)</t>
  </si>
  <si>
    <t>P.Stradiņa klīniskā universitātes slimnīca, SIA (programma AP82)</t>
  </si>
  <si>
    <t>iVF Riga, SIA (programma AP82)</t>
  </si>
  <si>
    <t>Biocon, SIA (programma AP82)</t>
  </si>
  <si>
    <t>Ātrie testi (stacionārs)</t>
  </si>
  <si>
    <t>Ātrie testi (ambulators)</t>
  </si>
  <si>
    <t>Rīgas Austrumu klīniskā universitātes slimnīca VSIA: Sekvencēšana</t>
  </si>
  <si>
    <t>Korekcijas</t>
  </si>
  <si>
    <t xml:space="preserve">Izdevumi par IAL izlietojumu (paņemšana + laboratorija) </t>
  </si>
  <si>
    <t>„Centrālā laboratorija” SIA</t>
  </si>
  <si>
    <t xml:space="preserve">„Centrālā laboratorija” SIA-IAL izlietojums parauga paņ. Dzīvesvietā </t>
  </si>
  <si>
    <t>Pārtikas drošības, dzīvnieku veselības un vides zinātniskā institūta "BIOR"</t>
  </si>
  <si>
    <t>SIA Dziedniecība</t>
  </si>
  <si>
    <t>SIA “NMS laboratorija“</t>
  </si>
  <si>
    <t>iVF Riga, SIA: IAL laboratorijā un Paraugu paņemšanas punktos</t>
  </si>
  <si>
    <t>Testu SARS-CoV-2 un gripas A/B vīrusu RNS vienlaicīgai detekcijai ar RL-PĶR metodi iegāde</t>
  </si>
  <si>
    <t>Izdevumi, kuru segšanai tiek piešķirti LNG - vakcīnu ievade</t>
  </si>
  <si>
    <t>2020.gads</t>
  </si>
  <si>
    <t>2021.gads</t>
  </si>
  <si>
    <t>februāris</t>
  </si>
  <si>
    <t>marts</t>
  </si>
  <si>
    <t>piešķirts no LNG (18.05.2021. FM rīkojums Nr. 284, MK 266)</t>
  </si>
  <si>
    <t>piešķirts no LNG (18.05.2021 FM rīkojums Nr. 284, MK 266)</t>
  </si>
  <si>
    <t>piešķirts no LNG (11.06.2021. FM rīkojums Nr.349, MK 266)</t>
  </si>
  <si>
    <t>piešķirts no LNG (09.07.2021. FM rīkojums Nr.398 MK 266)</t>
  </si>
  <si>
    <t>piešķirts no LNG (16.08.2021. FM rīkojums Nr.463, MK 266)</t>
  </si>
  <si>
    <t>KOPĀ :</t>
  </si>
  <si>
    <t>Veiktais darbs par COVID-19 vakcināciju saistītām manipulācijām SAVA</t>
  </si>
  <si>
    <t>Veiktais darbs par COVID-19 vakcināciju saistītām manipulācijām PVA</t>
  </si>
  <si>
    <t>Veiktais darbs par COVID-19 vakcināciju saistītām manipulācijām stacionāros</t>
  </si>
  <si>
    <t>Izdevumi, kuru segšanai tiek piešķirti LNG 2021.gadā</t>
  </si>
  <si>
    <t>KOPĀ 2021</t>
  </si>
  <si>
    <t>augusts</t>
  </si>
  <si>
    <t>pozīcija    \   statuss</t>
  </si>
  <si>
    <t>no LNG</t>
  </si>
  <si>
    <t>piešķirts no LNG (10.05.2021. FM  rīkojums 265, MK 37)</t>
  </si>
  <si>
    <t>Piezīmes</t>
  </si>
  <si>
    <t>piešķirts no LNG (26.05.2021. FM rīkojums Nr.297, MK 37)</t>
  </si>
  <si>
    <t>piešķirts no LNG (16.06.2021. FM rīkojums Nr.360, MK 37)</t>
  </si>
  <si>
    <t>piešķirts no LNG (24.08.2021. FM rīkojums Nr. 490, MK 37)</t>
  </si>
  <si>
    <t>PIEMAKSAS</t>
  </si>
  <si>
    <t xml:space="preserve">stacionāri </t>
  </si>
  <si>
    <t xml:space="preserve">farmaceiti  </t>
  </si>
  <si>
    <t>ģimenes ārsti</t>
  </si>
  <si>
    <t>ambulatori</t>
  </si>
  <si>
    <t xml:space="preserve">Iekrāsotie pasākumi apmaksāti no NVD līdzekļiem, nesagaidot LNG līdzekļu piešķīrumu. </t>
  </si>
  <si>
    <t>janvāris - marts</t>
  </si>
  <si>
    <t>piešķirts no LNG (19.08.2021. FM rīkojums Nr. 481)</t>
  </si>
  <si>
    <t>12.08.2021. iesniegts uz VM līdzekļu pieprasījumam no LNG</t>
  </si>
  <si>
    <t>VIRSSTUNDAS</t>
  </si>
  <si>
    <t>Pieprasījums tiek sniegts 1 reizi ceturksnī, jo daudzām stacionārām iestādēm ir summētais darba laiks,pēc kā tiek rēķinātas virsstundas</t>
  </si>
  <si>
    <t>Izdevumi, kuru segšanai tiek piešķirti LNG</t>
  </si>
  <si>
    <t>KOPĀ IESNIEGTS</t>
  </si>
  <si>
    <t>KOPĀ PIEŠĶIRTS</t>
  </si>
  <si>
    <t>priekšapmaksa</t>
  </si>
  <si>
    <t>NVD nesamaksātā starpība</t>
  </si>
  <si>
    <t>janv-februāris</t>
  </si>
  <si>
    <t>decembris - marts</t>
  </si>
  <si>
    <t>janvāris - maijs</t>
  </si>
  <si>
    <t>Pēc iestāžu pieprasījuma veikts avansa maksājums no NVD līdzekļiem</t>
  </si>
  <si>
    <t>25.01.2021. iesniegts uz VM līdzekļu pieprasījumam no LNG</t>
  </si>
  <si>
    <t>03.03.2021. iesniegts uz VM līdzekļu pieprasījumam no LNG</t>
  </si>
  <si>
    <t>25.03.2021. iesniegts uz VM līdzekļu pieprasījumam no LNG</t>
  </si>
  <si>
    <t>piešķirts no LNG (12.04.2021. FM rīkojums Nr.204)</t>
  </si>
  <si>
    <t>28.04.2021. iesniegts uz VM līdzekļu pieprasījumam no LNG</t>
  </si>
  <si>
    <t>piešķirts no LNG (13.05.2021. FM rīkojums Nr.275)</t>
  </si>
  <si>
    <t>31.05.2021. iesniegts uz VM līdzekļu pieprasījumam no LNG</t>
  </si>
  <si>
    <t>28.06.2021.iesniegts uz VM līdzekļu pieprasījumam no LNG</t>
  </si>
  <si>
    <t>piešķirts no LNG (14.07.2021. FM rīkojums Nr.405)</t>
  </si>
  <si>
    <t>14.07.2021. iesniegts uz VM līdzekļu pieprasījumam no LNG</t>
  </si>
  <si>
    <t>IEKĀRTAS</t>
  </si>
  <si>
    <t>1.piešķīrums (12.03.2021. MK  rīk 161)</t>
  </si>
  <si>
    <t>2.piešķīrums (05.01.2021. MK rīk Nr.2)</t>
  </si>
  <si>
    <t>3.piešķirums (11.02.2021. MK rīk Nr.81)</t>
  </si>
  <si>
    <t>Piešķirts no LNG</t>
  </si>
  <si>
    <t>NVD saistības</t>
  </si>
  <si>
    <t>laboratoriju testi</t>
  </si>
  <si>
    <t>vakcinācija</t>
  </si>
  <si>
    <t>piemaksas</t>
  </si>
  <si>
    <t>virsstundu apmaksa</t>
  </si>
  <si>
    <t xml:space="preserve">Intensīvās terapijas piemaksas un piemaksa par pacientu veselības stāvokļa novērošanu uzņemšanas nodaļā </t>
  </si>
  <si>
    <t>Ārstniecības iestādes nosaukums</t>
  </si>
  <si>
    <t>Paula Stradiņa klīniskā universitātes slimnīca</t>
  </si>
  <si>
    <t>Rīgas Austrumu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</si>
  <si>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</si>
  <si>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</si>
  <si>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</si>
  <si>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</si>
  <si>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</si>
  <si>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</si>
  <si>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</si>
  <si>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</si>
  <si>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</si>
  <si>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</si>
  <si>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</si>
  <si>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</si>
  <si>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</si>
  <si>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</si>
  <si>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</si>
  <si>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</si>
  <si>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</si>
  <si>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</si>
  <si>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Rīgas psihiatrijas un narkoloģijas centrs</t>
  </si>
  <si>
    <t>Piejūras slimnīca</t>
  </si>
  <si>
    <t>Daugavpils psihoneiroloģiskā slimnīca</t>
  </si>
  <si>
    <t>Slimnīca "Ģintermuiža"</t>
  </si>
  <si>
    <t>Strenču psihoneiroloģiskā slimnīca</t>
  </si>
  <si>
    <t>Intensīvās terapijas piemaksas</t>
  </si>
  <si>
    <t>FM rīk.405, 14.07.2021; MK rīk.81</t>
  </si>
  <si>
    <t>Bauskas slimnīca</t>
  </si>
  <si>
    <t>Bērnu klīniskā universitātes slimnīca</t>
  </si>
  <si>
    <t>Ludzas medicīnas centrs</t>
  </si>
  <si>
    <t>Rīgas 2. slimnīca</t>
  </si>
  <si>
    <t>Traumatoloģijas un ortopēdijas slimnīca</t>
  </si>
  <si>
    <t xml:space="preserve"> piemaksa par pacientu veselības stāvokļa novērošanu uzņemšanas nodaļā </t>
  </si>
  <si>
    <t>janvāris - jūlijs</t>
  </si>
  <si>
    <t>piešķirts no LNG (01.10.2021. FM rīkojums Nr.577)</t>
  </si>
  <si>
    <t>27.09.2021. iesniegts uz VM līdzekļu pieprasījumam no LNG</t>
  </si>
  <si>
    <t>Mākslīgas plaušu veintilācijas iekārtas (PSKUS, Tradintek), planšetes</t>
  </si>
  <si>
    <t>septembris</t>
  </si>
  <si>
    <t>FM rīk.569, 27.09.2021; MK rīk.81</t>
  </si>
  <si>
    <t>Līdz LNG saņemšanai samaksāts no NVD līdzekļiem (pakalpojumu apmaksas)</t>
  </si>
  <si>
    <t>Piešķirts kopā</t>
  </si>
  <si>
    <t>iesniegts uz VM kopā</t>
  </si>
  <si>
    <t>samaksāts no NVD līdzekļiem</t>
  </si>
  <si>
    <t>samaksāts no NVD līdzekļiem līdz lēmuma piešķiršanai</t>
  </si>
  <si>
    <t>Iesniegts uz VM līdzekļu pieprasījumam no LNG</t>
  </si>
  <si>
    <t>ārstniecība (MK 555)</t>
  </si>
  <si>
    <t>IAL laboratorijās</t>
  </si>
  <si>
    <t>iekārtas un aprīkojums</t>
  </si>
  <si>
    <t>Observācijas gultas</t>
  </si>
  <si>
    <t>KOPĀ iesniegts uz VM</t>
  </si>
  <si>
    <t>Ārstniecības iestāžu izdevumi, kuru segšana paredzēta no līdzekļiem neparedzētiem gadījumiem</t>
  </si>
  <si>
    <t>piešķirts no LNG (07.10.2021. FM rīkojums Nr.585)
(11.10.2021. FM 590)</t>
  </si>
  <si>
    <t>FM 590, MK 81</t>
  </si>
  <si>
    <t>19.10.2021. iesniegts uz VM līdzekļu pieprasījumam no LNG</t>
  </si>
  <si>
    <t>piešķirts no LNG (18.10.2021. FM 608 MK 688)</t>
  </si>
  <si>
    <t>piešķirts no LNG (25.10.2021. FM rīkojums Nr. 643)</t>
  </si>
  <si>
    <t>atvaļinājuma rezerves uzkrājumi (kopā)</t>
  </si>
  <si>
    <t>piešķirts no LNG (21.10.2021. FM 629 MK 689)</t>
  </si>
  <si>
    <t>piešķirts no LNG (18.10.2021 FM 615; MK 100)</t>
  </si>
  <si>
    <t>piešķirts no LNG (26.10.2021 FM 645; MK 100)</t>
  </si>
  <si>
    <t>jūnijs  - augusts</t>
  </si>
  <si>
    <t xml:space="preserve">Rehabilitācijas pakalpojumiem pacientiem pēc pārslimota Covid-19 </t>
  </si>
  <si>
    <t xml:space="preserve">Rehabilitācijas pakalpojumi pacientiem pēc pārslimota Covid-19 </t>
  </si>
  <si>
    <t xml:space="preserve">ambulatorās rehabilitācijas nodrošināšanai un rehabilitācijas nodrošināšanai dienas stacionārā </t>
  </si>
  <si>
    <t>subakūtās rehabilitācijas nodrošināšanai stacionārā (tai skaitā papildu skābekļa atbalstam)</t>
  </si>
  <si>
    <t>piešķirts no LNG (08.10.2021. FM rīkojums Nr.588, MK 266)</t>
  </si>
  <si>
    <t>piešķirts no LNG (03.11.2021. FM rīkojums Nr.668, MK 266)</t>
  </si>
  <si>
    <t>piešķirts no LNG (03.11.2021. FM rīkojums Nr. 666)</t>
  </si>
  <si>
    <t>janvāris - septembris</t>
  </si>
  <si>
    <t>oktobris</t>
  </si>
  <si>
    <t>10.11.2021. iesniegts uz VM līdzekļu pieprasījumam no LNG</t>
  </si>
  <si>
    <t>piešķirts no LNG (03.11.2021. FM rīkojums Nr. 663)</t>
  </si>
  <si>
    <t>FM 693, MK 81</t>
  </si>
  <si>
    <t>Aktualizēts uz 12.11.2021.</t>
  </si>
  <si>
    <t>piešķirts FM 686, MK 356</t>
  </si>
  <si>
    <t>piešķirts FM 700, MK 356</t>
  </si>
  <si>
    <t>25.11.2021. iesniegts uz VM līdzekļu pieprasījumam no LNG</t>
  </si>
  <si>
    <t>piešķirts no LNG (16.11.2021. FM rīkojums Nr. 717)</t>
  </si>
  <si>
    <t>piešķirts no LNG (16.11.2021. FM rīkojums Nr. 721)</t>
  </si>
  <si>
    <t>Aizkraukles slimnīca</t>
  </si>
  <si>
    <t>Rīgas 1.slimnīca</t>
  </si>
  <si>
    <t>iesniegšanas procesā  uz VM līdzekļu pieprasījumam no LNG</t>
  </si>
  <si>
    <t>adrenalīna injekcijas SAVA</t>
  </si>
  <si>
    <t>adrenalīna injekcijas PVA</t>
  </si>
  <si>
    <t>piešķirts no LNG (16.11.2021. FM 718 MK 773)</t>
  </si>
  <si>
    <t>FM 770, MK 81</t>
  </si>
  <si>
    <t>Pēc iestāžu pieprasījuma veikts avansa maksājums no NVD līdzekļiem (pēc stāvokļa uz 30.11.2021)</t>
  </si>
  <si>
    <t>Atmaksa iestādēm par atvaļinājuma rezervēm līdz 16.12.2021. pēc rēķinu saņemšanas no ĀI</t>
  </si>
  <si>
    <t>Aktualizēts uz 10.12..2021.</t>
  </si>
  <si>
    <t>piešķirts no LNG (02.12.2021. FM rīkojums Nr.788, MK 266)</t>
  </si>
  <si>
    <t>02.12..2021.iesniegts uz VM līdzekļu pieprasījumam no LNG</t>
  </si>
  <si>
    <t>piešķirts no LNG (29.11.2021 FM 765; MK 100)</t>
  </si>
  <si>
    <t>piešķirts no LNG (avanss) (06.12.2021. FM 802 MK 843)</t>
  </si>
  <si>
    <t xml:space="preserve">piešķirts no LNG (FM 693, FM 702, FM 687) 
</t>
  </si>
  <si>
    <t>FM 786</t>
  </si>
  <si>
    <t>Covid-19 pacientu ārstēšana stacionārā</t>
  </si>
  <si>
    <t>piešķirts no LNG (08.12.2021 FM 822; MK 100)</t>
  </si>
  <si>
    <t>piešķirts no LNG (09.12.2021. FM 832 MK 773)</t>
  </si>
  <si>
    <t>Aktualizēts uz 17.12.2021.</t>
  </si>
  <si>
    <t>piešķirts no LNG (02.12.2021. FM rīkojums Nr. 787)</t>
  </si>
  <si>
    <t>piešķirts no LNG (16.12.2021. FM rīkojums Nr. 861)*</t>
  </si>
  <si>
    <t>* apmaksa iestādēm tiks veikta līdz 22.12.2021.</t>
  </si>
  <si>
    <t xml:space="preserve">piešķirts no LNG (FM 770, FM 774, FM ) 
</t>
  </si>
  <si>
    <t>07.12.2021. iesniegts uz VM līdzekļu pieprasījumu no LNG</t>
  </si>
  <si>
    <t>FM 770</t>
  </si>
  <si>
    <t>17.12.2021. iesniegts uz VM līdzekļu pieprasījumam no LNG</t>
  </si>
  <si>
    <t xml:space="preserve">piešķirts no LNG (06.12.2021 FM 802; MK 100)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</si>
</sst>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rgb="FF00B050"/>
      <name val="Times New Roman"/>
      <family val="1"/>
      <charset val="186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4" borderId="0" xfId="0" applyFont="1" applyFill="1" applyAlignment="1">
      <alignment vertical="center"/>
    </xf>
    <xf numFmtId="17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8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vertical="center"/>
    </xf>
    <xf numFmtId="4" fontId="3" fillId="10" borderId="1" xfId="0" applyNumberFormat="1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left" vertical="center"/>
    </xf>
    <xf numFmtId="4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vertical="center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4" fontId="20" fillId="7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4" fontId="15" fillId="4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4" fontId="20" fillId="5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vertical="center"/>
    </xf>
    <xf numFmtId="4" fontId="15" fillId="5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" fontId="20" fillId="0" borderId="1" xfId="0" applyNumberFormat="1" applyFont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vertical="center"/>
    </xf>
    <xf numFmtId="4" fontId="20" fillId="3" borderId="1" xfId="0" applyNumberFormat="1" applyFont="1" applyFill="1" applyBorder="1" applyAlignment="1">
      <alignment vertical="center"/>
    </xf>
    <xf numFmtId="4" fontId="20" fillId="3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3" fontId="20" fillId="3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3" fontId="15" fillId="4" borderId="1" xfId="1" applyNumberFormat="1" applyFont="1" applyFill="1" applyBorder="1" applyAlignment="1">
      <alignment vertical="center"/>
    </xf>
    <xf numFmtId="4" fontId="15" fillId="0" borderId="1" xfId="1" applyNumberFormat="1" applyFont="1" applyBorder="1" applyAlignment="1">
      <alignment vertical="center"/>
    </xf>
    <xf numFmtId="0" fontId="18" fillId="0" borderId="1" xfId="1" applyFont="1" applyBorder="1" applyAlignment="1">
      <alignment vertical="center" wrapText="1"/>
    </xf>
    <xf numFmtId="3" fontId="15" fillId="4" borderId="1" xfId="1" applyNumberFormat="1" applyFont="1" applyFill="1" applyBorder="1" applyAlignment="1">
      <alignment vertical="center" wrapText="1"/>
    </xf>
    <xf numFmtId="4" fontId="15" fillId="0" borderId="1" xfId="1" applyNumberFormat="1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4" borderId="0" xfId="0" applyFont="1" applyFill="1" applyAlignment="1">
      <alignment vertical="center" wrapText="1"/>
    </xf>
    <xf numFmtId="4" fontId="20" fillId="4" borderId="0" xfId="0" applyNumberFormat="1" applyFont="1" applyFill="1" applyAlignment="1">
      <alignment vertical="center"/>
    </xf>
    <xf numFmtId="3" fontId="20" fillId="4" borderId="0" xfId="0" applyNumberFormat="1" applyFont="1" applyFill="1" applyAlignment="1">
      <alignment vertical="center"/>
    </xf>
    <xf numFmtId="4" fontId="20" fillId="4" borderId="0" xfId="0" applyNumberFormat="1" applyFont="1" applyFill="1" applyAlignment="1">
      <alignment horizontal="right" vertical="center"/>
    </xf>
    <xf numFmtId="4" fontId="16" fillId="4" borderId="0" xfId="0" applyNumberFormat="1" applyFont="1" applyFill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3" fillId="4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3" borderId="7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6" borderId="1" xfId="0" applyFont="1" applyFill="1" applyBorder="1"/>
    <xf numFmtId="0" fontId="2" fillId="0" borderId="0" xfId="0" applyFont="1"/>
    <xf numFmtId="0" fontId="3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" xfId="0" applyFont="1" applyBorder="1"/>
    <xf numFmtId="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4" fontId="2" fillId="7" borderId="5" xfId="0" applyNumberFormat="1" applyFont="1" applyFill="1" applyBorder="1" applyAlignment="1">
      <alignment horizontal="center" vertical="center" wrapText="1"/>
    </xf>
    <xf numFmtId="4" fontId="26" fillId="7" borderId="5" xfId="0" applyNumberFormat="1" applyFont="1" applyFill="1" applyBorder="1" applyAlignment="1">
      <alignment horizontal="center" vertical="center" wrapText="1"/>
    </xf>
    <xf numFmtId="0" fontId="3" fillId="0" borderId="1" xfId="3" applyFont="1" applyBorder="1"/>
    <xf numFmtId="4" fontId="20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3" fillId="0" borderId="1" xfId="7" applyNumberFormat="1" applyFont="1" applyFill="1" applyBorder="1"/>
    <xf numFmtId="4" fontId="4" fillId="0" borderId="1" xfId="0" applyNumberFormat="1" applyFont="1" applyBorder="1" applyAlignment="1">
      <alignment vertical="center"/>
    </xf>
    <xf numFmtId="4" fontId="5" fillId="0" borderId="1" xfId="9" applyNumberFormat="1" applyFont="1" applyFill="1" applyBorder="1"/>
    <xf numFmtId="4" fontId="18" fillId="0" borderId="1" xfId="0" applyNumberFormat="1" applyFont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3" fontId="3" fillId="0" borderId="1" xfId="9" applyFont="1" applyBorder="1"/>
    <xf numFmtId="4" fontId="3" fillId="0" borderId="1" xfId="9" applyNumberFormat="1" applyFont="1" applyBorder="1"/>
    <xf numFmtId="164" fontId="0" fillId="0" borderId="0" xfId="0" applyNumberFormat="1"/>
    <xf numFmtId="3" fontId="23" fillId="0" borderId="0" xfId="8" applyNumberFormat="1" applyFont="1" applyFill="1" applyBorder="1"/>
    <xf numFmtId="0" fontId="10" fillId="0" borderId="0" xfId="0" applyFont="1" applyAlignment="1">
      <alignment horizontal="left" vertical="center"/>
    </xf>
    <xf numFmtId="0" fontId="3" fillId="11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wrapText="1"/>
    </xf>
    <xf numFmtId="4" fontId="18" fillId="12" borderId="1" xfId="0" applyNumberFormat="1" applyFont="1" applyFill="1" applyBorder="1" applyAlignment="1">
      <alignment vertical="center"/>
    </xf>
    <xf numFmtId="4" fontId="15" fillId="12" borderId="1" xfId="0" applyNumberFormat="1" applyFont="1" applyFill="1" applyBorder="1" applyAlignment="1">
      <alignment vertical="center"/>
    </xf>
    <xf numFmtId="4" fontId="4" fillId="12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4" fontId="3" fillId="0" borderId="5" xfId="7" applyNumberFormat="1" applyFont="1" applyFill="1" applyBorder="1"/>
    <xf numFmtId="0" fontId="2" fillId="6" borderId="7" xfId="0" applyFont="1" applyFill="1" applyBorder="1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4" fontId="3" fillId="0" borderId="0" xfId="7" applyNumberFormat="1" applyFont="1" applyFill="1" applyBorder="1"/>
    <xf numFmtId="3" fontId="4" fillId="0" borderId="1" xfId="0" applyNumberFormat="1" applyFont="1" applyBorder="1"/>
    <xf numFmtId="3" fontId="3" fillId="12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/>
    <xf numFmtId="4" fontId="18" fillId="12" borderId="1" xfId="0" applyNumberFormat="1" applyFont="1" applyFill="1" applyBorder="1" applyAlignment="1">
      <alignment vertical="center" wrapText="1"/>
    </xf>
    <xf numFmtId="3" fontId="15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vertical="center"/>
    </xf>
    <xf numFmtId="0" fontId="13" fillId="0" borderId="1" xfId="0" applyFont="1" applyBorder="1"/>
    <xf numFmtId="0" fontId="13" fillId="4" borderId="0" xfId="0" applyFont="1" applyFill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1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4" fontId="18" fillId="14" borderId="1" xfId="0" applyNumberFormat="1" applyFont="1" applyFill="1" applyBorder="1" applyAlignment="1">
      <alignment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3" fontId="16" fillId="3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16" fillId="5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</cellXfs>
  <cellStyles count="10">
    <cellStyle name="Comma" xfId="7" builtinId="3"/>
    <cellStyle name="Comma 3" xfId="9" xr:uid="{41401734-8E68-4690-9527-569B300F6F8A}"/>
    <cellStyle name="Excel Built-in Normal" xfId="8" xr:uid="{A37340AB-896C-4004-B254-078E35E87747}"/>
    <cellStyle name="Normal" xfId="0" builtinId="0"/>
    <cellStyle name="Normal 2" xfId="3" xr:uid="{1044764E-3310-48E4-944A-6945223C4DB5}"/>
    <cellStyle name="Normal 2 2 2" xfId="2" xr:uid="{97C3DD20-4733-4C77-B637-35D148ECCBEC}"/>
    <cellStyle name="Normal 2 3" xfId="1" xr:uid="{DC4C88E7-CEC4-4C92-8C9A-9496061E2025}"/>
    <cellStyle name="Normal 3" xfId="4" xr:uid="{35E3D928-FF1D-4BFA-9D2C-1BAF27A61263}"/>
    <cellStyle name="Normal 3 2" xfId="6" xr:uid="{25A9D835-4ACC-4CC7-BF0D-7BC836D6FCEE}"/>
    <cellStyle name="Normal 39" xfId="5" xr:uid="{C3F2E749-9427-43B8-BD87-6A57CD905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0CF5-D56E-475E-B237-DBEBD42250AF}">
  <dimension ref="A1:L14"/>
  <sheetViews>
    <sheetView tabSelected="1" workbookViewId="0">
      <selection activeCell="F17" sqref="F17"/>
    </sheetView>
  </sheetViews>
  <sheetFormatPr defaultColWidth="9.140625" defaultRowHeight="15" x14ac:dyDescent="0.25"/>
  <cols>
    <col min="1" max="1" width="35.140625" style="138" customWidth="1"/>
    <col min="2" max="2" width="13.140625" style="138" customWidth="1"/>
    <col min="3" max="3" width="13.5703125" style="138" customWidth="1"/>
    <col min="4" max="4" width="13.42578125" style="138" customWidth="1"/>
    <col min="5" max="5" width="15.140625" style="138" customWidth="1"/>
    <col min="6" max="6" width="14.5703125" style="138" customWidth="1"/>
    <col min="7" max="7" width="15" style="138" customWidth="1"/>
    <col min="8" max="8" width="13.140625" style="144" customWidth="1"/>
    <col min="9" max="9" width="16.140625" style="138" customWidth="1"/>
    <col min="10" max="10" width="15.28515625" style="138" customWidth="1"/>
    <col min="11" max="11" width="13" style="138" customWidth="1"/>
    <col min="12" max="12" width="21.28515625" style="138" customWidth="1"/>
    <col min="13" max="16384" width="9.140625" style="138"/>
  </cols>
  <sheetData>
    <row r="1" spans="1:12" x14ac:dyDescent="0.25">
      <c r="A1" s="31" t="s">
        <v>234</v>
      </c>
    </row>
    <row r="2" spans="1:12" x14ac:dyDescent="0.25">
      <c r="C2" s="172"/>
    </row>
    <row r="3" spans="1:12" ht="15.75" x14ac:dyDescent="0.25">
      <c r="A3" s="248" t="s">
        <v>186</v>
      </c>
      <c r="B3" s="248"/>
      <c r="C3" s="248"/>
      <c r="D3" s="248"/>
      <c r="E3" s="248"/>
      <c r="F3" s="248"/>
      <c r="H3" s="138"/>
    </row>
    <row r="4" spans="1:12" s="143" customFormat="1" ht="57" x14ac:dyDescent="0.2">
      <c r="A4" s="141"/>
      <c r="B4" s="142" t="s">
        <v>1</v>
      </c>
      <c r="C4" s="145" t="s">
        <v>181</v>
      </c>
      <c r="D4" s="145" t="s">
        <v>130</v>
      </c>
      <c r="E4" s="145" t="s">
        <v>182</v>
      </c>
      <c r="F4" s="142" t="s">
        <v>131</v>
      </c>
      <c r="G4" s="142" t="s">
        <v>132</v>
      </c>
      <c r="H4" s="145" t="s">
        <v>133</v>
      </c>
      <c r="I4" s="145" t="s">
        <v>183</v>
      </c>
      <c r="J4" s="145" t="s">
        <v>184</v>
      </c>
      <c r="K4" s="145" t="s">
        <v>161</v>
      </c>
      <c r="L4" s="145" t="s">
        <v>198</v>
      </c>
    </row>
    <row r="5" spans="1:12" s="143" customFormat="1" ht="30" x14ac:dyDescent="0.25">
      <c r="A5" s="140" t="s">
        <v>180</v>
      </c>
      <c r="B5" s="207">
        <f>SUM(C5:L5)</f>
        <v>307904367.26251668</v>
      </c>
      <c r="C5" s="207">
        <f>Ārstniecība!C6</f>
        <v>45413167.699999996</v>
      </c>
      <c r="D5" s="209">
        <f>Laboratorijas!C6</f>
        <v>84695159.039999992</v>
      </c>
      <c r="E5" s="207">
        <f>Laboratorijas!C26</f>
        <v>1726300.84</v>
      </c>
      <c r="F5" s="209">
        <f>Vakcinacija!C7</f>
        <v>19938099.779999997</v>
      </c>
      <c r="G5" s="207">
        <f>Piemaksas!C6</f>
        <v>104599988.06999999</v>
      </c>
      <c r="H5" s="208">
        <f>Virsstundas!C5</f>
        <v>10359242</v>
      </c>
      <c r="I5" s="207">
        <f>Iekārtas!C6</f>
        <v>17864410.222516663</v>
      </c>
      <c r="J5" s="207">
        <f>'observācija + IT'!C5</f>
        <v>3127078.7999999975</v>
      </c>
      <c r="K5" s="207">
        <f>'observācija + IT'!C37</f>
        <v>18966362.690000005</v>
      </c>
      <c r="L5" s="207">
        <f>Post_rehab!C6</f>
        <v>1214558.1200000001</v>
      </c>
    </row>
    <row r="6" spans="1:12" x14ac:dyDescent="0.25">
      <c r="A6" s="139" t="s">
        <v>128</v>
      </c>
      <c r="B6" s="207">
        <f>SUM(C6:L6)</f>
        <v>293936192.45000005</v>
      </c>
      <c r="C6" s="204">
        <f>Ārstniecība!G1</f>
        <v>45413167.699999996</v>
      </c>
      <c r="D6" s="204">
        <f>Laboratorijas!J1</f>
        <v>84695159.039999992</v>
      </c>
      <c r="E6" s="204">
        <f>Laboratorijas!J22</f>
        <v>1726300.84</v>
      </c>
      <c r="F6" s="204">
        <f>Vakcinacija!G1</f>
        <v>16223298.629999999</v>
      </c>
      <c r="G6" s="204">
        <f>Piemaksas!J1</f>
        <v>98423750.590000018</v>
      </c>
      <c r="H6" s="183">
        <f>Virsstundas!D5+Virsstundas!H5+Virsstundas!M6</f>
        <v>9546292</v>
      </c>
      <c r="I6" s="204">
        <f>Iekārtas!D6</f>
        <v>14915662</v>
      </c>
      <c r="J6" s="204">
        <f>'observācija + IT'!H1</f>
        <v>3127078.8000000003</v>
      </c>
      <c r="K6" s="204">
        <f>'observācija + IT'!H33</f>
        <v>18966362.690000005</v>
      </c>
      <c r="L6" s="204">
        <f>Post_rehab!E1</f>
        <v>899120.16000000015</v>
      </c>
    </row>
    <row r="7" spans="1:12" ht="45" x14ac:dyDescent="0.25">
      <c r="A7" s="140" t="s">
        <v>175</v>
      </c>
      <c r="B7" s="207">
        <f>SUM(C7:L7)</f>
        <v>4030239.11</v>
      </c>
      <c r="C7" s="204">
        <f>Ārstniecība!G2</f>
        <v>0</v>
      </c>
      <c r="D7" s="204">
        <f>Laboratorijas!J2</f>
        <v>0</v>
      </c>
      <c r="E7" s="204">
        <v>0</v>
      </c>
      <c r="F7" s="206">
        <f>Vakcinacija!G2</f>
        <v>3714801.15</v>
      </c>
      <c r="G7" s="204">
        <f>Piemaksas!J2</f>
        <v>0</v>
      </c>
      <c r="H7" s="183"/>
      <c r="I7" s="204">
        <f>Iekārtas!F2</f>
        <v>0</v>
      </c>
      <c r="J7" s="204">
        <f>'observācija + IT'!H2</f>
        <v>0</v>
      </c>
      <c r="K7" s="204">
        <v>0</v>
      </c>
      <c r="L7" s="204">
        <f>Post_rehab!E2</f>
        <v>315437.95999999985</v>
      </c>
    </row>
    <row r="8" spans="1:12" x14ac:dyDescent="0.25">
      <c r="A8" s="139" t="s">
        <v>129</v>
      </c>
      <c r="B8" s="207">
        <f>SUM(C8:L8)</f>
        <v>9937935.7025166638</v>
      </c>
      <c r="C8" s="206">
        <f>C5-C6-C7</f>
        <v>0</v>
      </c>
      <c r="D8" s="204">
        <f>Laboratorijas!J3</f>
        <v>0</v>
      </c>
      <c r="E8" s="204">
        <f>E5-E6</f>
        <v>0</v>
      </c>
      <c r="F8" s="204">
        <v>0</v>
      </c>
      <c r="G8" s="204">
        <f>Piemaksas!J3</f>
        <v>6176237.4800000004</v>
      </c>
      <c r="H8" s="183">
        <f>Virsstundas!O6</f>
        <v>812950</v>
      </c>
      <c r="I8" s="204">
        <f>I5-I6-I7</f>
        <v>2948748.2225166634</v>
      </c>
      <c r="J8" s="204">
        <v>0</v>
      </c>
      <c r="K8" s="204">
        <f>'observācija + IT'!H34</f>
        <v>0</v>
      </c>
      <c r="L8" s="204"/>
    </row>
    <row r="9" spans="1:12" x14ac:dyDescent="0.25">
      <c r="A9" s="213"/>
    </row>
    <row r="10" spans="1:12" x14ac:dyDescent="0.25"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</row>
    <row r="11" spans="1:12" x14ac:dyDescent="0.25"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2" x14ac:dyDescent="0.25">
      <c r="G12" s="224"/>
    </row>
    <row r="14" spans="1:12" x14ac:dyDescent="0.25">
      <c r="G14" s="224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1C2C-F8A4-4472-A319-95C55A3BBB71}">
  <dimension ref="B1:R32"/>
  <sheetViews>
    <sheetView zoomScale="80" zoomScaleNormal="80" workbookViewId="0">
      <pane xSplit="3" ySplit="5" topLeftCell="D6" activePane="bottomRight" state="frozen"/>
      <selection activeCell="O6" sqref="O6"/>
      <selection pane="topRight" activeCell="O6" sqref="O6"/>
      <selection pane="bottomLeft" activeCell="O6" sqref="O6"/>
      <selection pane="bottomRight" activeCell="R14" sqref="R14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" customWidth="1"/>
    <col min="4" max="5" width="14.28515625" style="3" customWidth="1"/>
    <col min="6" max="6" width="21.140625" style="4" customWidth="1"/>
    <col min="7" max="7" width="14.28515625" style="2" customWidth="1"/>
    <col min="8" max="9" width="14.28515625" style="1" customWidth="1"/>
    <col min="10" max="12" width="14.28515625" style="29" customWidth="1"/>
    <col min="13" max="13" width="13.7109375" style="1" customWidth="1"/>
    <col min="14" max="14" width="14.42578125" style="1" customWidth="1"/>
    <col min="15" max="15" width="15.140625" style="1" customWidth="1"/>
    <col min="16" max="16" width="13.42578125" style="1" customWidth="1"/>
    <col min="17" max="17" width="9.42578125" style="1"/>
    <col min="18" max="18" width="13.5703125" style="1" bestFit="1" customWidth="1"/>
    <col min="19" max="16384" width="9.42578125" style="1"/>
  </cols>
  <sheetData>
    <row r="1" spans="2:18" x14ac:dyDescent="0.25">
      <c r="B1" s="31" t="s">
        <v>234</v>
      </c>
      <c r="C1" s="51"/>
      <c r="D1" s="52"/>
      <c r="E1" s="52"/>
      <c r="F1" s="184" t="s">
        <v>176</v>
      </c>
      <c r="G1" s="185">
        <f>D6+E6+F6+G6+H6+I6+J6+L6+K6+M6+N6+O6+P6</f>
        <v>45413167.699999996</v>
      </c>
      <c r="H1" s="51"/>
      <c r="I1" s="51"/>
      <c r="J1" s="55"/>
      <c r="K1" s="55"/>
      <c r="L1" s="55"/>
      <c r="M1" s="51"/>
      <c r="N1" s="51"/>
      <c r="O1" s="4"/>
    </row>
    <row r="2" spans="2:18" ht="45" x14ac:dyDescent="0.25">
      <c r="B2" s="50"/>
      <c r="C2" s="51"/>
      <c r="D2" s="52"/>
      <c r="E2" s="52"/>
      <c r="F2" s="210" t="s">
        <v>179</v>
      </c>
      <c r="G2" s="185"/>
      <c r="H2" s="51"/>
      <c r="I2" s="51"/>
      <c r="J2" s="55"/>
      <c r="K2" s="222"/>
      <c r="L2" s="222"/>
      <c r="M2" s="53"/>
      <c r="N2" s="53"/>
      <c r="O2" s="4"/>
    </row>
    <row r="3" spans="2:18" s="22" customFormat="1" ht="15.75" x14ac:dyDescent="0.25">
      <c r="B3" s="248" t="s">
        <v>0</v>
      </c>
      <c r="C3" s="248"/>
      <c r="D3" s="248"/>
      <c r="E3" s="248"/>
      <c r="F3" s="248"/>
      <c r="G3" s="248"/>
      <c r="H3" s="56"/>
      <c r="I3" s="56"/>
      <c r="J3" s="57"/>
      <c r="K3" s="57"/>
      <c r="L3" s="57"/>
      <c r="M3" s="56"/>
      <c r="N3" s="56"/>
      <c r="O3" s="129"/>
    </row>
    <row r="4" spans="2:18" x14ac:dyDescent="0.25">
      <c r="B4" s="58"/>
      <c r="C4" s="249" t="s">
        <v>185</v>
      </c>
      <c r="D4" s="59" t="s">
        <v>2</v>
      </c>
      <c r="E4" s="60" t="s">
        <v>3</v>
      </c>
      <c r="F4" s="59" t="s">
        <v>4</v>
      </c>
      <c r="G4" s="61" t="s">
        <v>5</v>
      </c>
      <c r="H4" s="62" t="s">
        <v>6</v>
      </c>
      <c r="I4" s="61" t="s">
        <v>7</v>
      </c>
      <c r="J4" s="63" t="s">
        <v>8</v>
      </c>
      <c r="K4" s="63" t="s">
        <v>9</v>
      </c>
      <c r="L4" s="63" t="s">
        <v>10</v>
      </c>
      <c r="M4" s="63" t="s">
        <v>86</v>
      </c>
      <c r="N4" s="63" t="s">
        <v>173</v>
      </c>
      <c r="O4" s="63" t="s">
        <v>205</v>
      </c>
      <c r="P4" s="63" t="s">
        <v>2</v>
      </c>
    </row>
    <row r="5" spans="2:18" ht="84.75" customHeight="1" x14ac:dyDescent="0.25">
      <c r="B5" s="101"/>
      <c r="C5" s="250"/>
      <c r="D5" s="65" t="s">
        <v>11</v>
      </c>
      <c r="E5" s="65" t="s">
        <v>11</v>
      </c>
      <c r="F5" s="66" t="s">
        <v>12</v>
      </c>
      <c r="G5" s="66" t="s">
        <v>12</v>
      </c>
      <c r="H5" s="66" t="s">
        <v>13</v>
      </c>
      <c r="I5" s="66" t="s">
        <v>14</v>
      </c>
      <c r="J5" s="66" t="s">
        <v>15</v>
      </c>
      <c r="K5" s="66" t="s">
        <v>193</v>
      </c>
      <c r="L5" s="66" t="s">
        <v>190</v>
      </c>
      <c r="M5" s="66" t="s">
        <v>220</v>
      </c>
      <c r="N5" s="66" t="s">
        <v>233</v>
      </c>
      <c r="O5" s="251" t="s">
        <v>242</v>
      </c>
      <c r="P5" s="252"/>
    </row>
    <row r="6" spans="2:18" ht="21.75" customHeight="1" x14ac:dyDescent="0.25">
      <c r="B6" s="102" t="s">
        <v>1</v>
      </c>
      <c r="C6" s="103">
        <f>D6+E6+F6+G6+H6+I6+J6+K6+L6+M6+N6+O6+P6</f>
        <v>45413167.699999996</v>
      </c>
      <c r="D6" s="104">
        <f>D7+D22+D27+D28+D29</f>
        <v>1556387.6199999999</v>
      </c>
      <c r="E6" s="104">
        <f t="shared" ref="E6:N6" si="0">E7+E22+E27+E28+E29</f>
        <v>2384572.5099999998</v>
      </c>
      <c r="F6" s="104">
        <f t="shared" si="0"/>
        <v>3868222.7199999993</v>
      </c>
      <c r="G6" s="104">
        <f t="shared" si="0"/>
        <v>3485788.81</v>
      </c>
      <c r="H6" s="104">
        <f t="shared" si="0"/>
        <v>3431946.2499999995</v>
      </c>
      <c r="I6" s="104">
        <f t="shared" si="0"/>
        <v>2900807.22</v>
      </c>
      <c r="J6" s="104">
        <f t="shared" si="0"/>
        <v>2694993.2</v>
      </c>
      <c r="K6" s="104">
        <f t="shared" si="0"/>
        <v>2383007.7000000002</v>
      </c>
      <c r="L6" s="104">
        <f t="shared" si="0"/>
        <v>2238152.8100000005</v>
      </c>
      <c r="M6" s="104">
        <f t="shared" si="0"/>
        <v>2270709.5499999998</v>
      </c>
      <c r="N6" s="104">
        <f>N7+N22+N27+N28+N29+N30</f>
        <v>4503704.0199999996</v>
      </c>
      <c r="O6" s="104">
        <f t="shared" ref="O6:P6" si="1">O7+O22+O27+O28+O29+O30</f>
        <v>7574909.6699999999</v>
      </c>
      <c r="P6" s="104">
        <f t="shared" si="1"/>
        <v>6119965.6200000001</v>
      </c>
      <c r="R6" s="4"/>
    </row>
    <row r="7" spans="2:18" ht="15.75" customHeight="1" x14ac:dyDescent="0.25">
      <c r="B7" s="105" t="s">
        <v>16</v>
      </c>
      <c r="C7" s="106">
        <f>D7+E7+F7+G7+H7+I7+J7+K7+L7+M7+N7+O7+P7</f>
        <v>21902243.270000003</v>
      </c>
      <c r="D7" s="106">
        <f t="shared" ref="D7:O7" si="2">SUM(D8:D21)</f>
        <v>565313.49</v>
      </c>
      <c r="E7" s="106">
        <f t="shared" si="2"/>
        <v>702876.42</v>
      </c>
      <c r="F7" s="106">
        <f t="shared" si="2"/>
        <v>2405458.88</v>
      </c>
      <c r="G7" s="106">
        <f t="shared" si="2"/>
        <v>2130342.4400000004</v>
      </c>
      <c r="H7" s="106">
        <f t="shared" si="2"/>
        <v>2208427.86</v>
      </c>
      <c r="I7" s="106">
        <f t="shared" si="2"/>
        <v>1951832.72</v>
      </c>
      <c r="J7" s="106">
        <f t="shared" si="2"/>
        <v>1920450.7300000002</v>
      </c>
      <c r="K7" s="106">
        <f t="shared" si="2"/>
        <v>1706776.48</v>
      </c>
      <c r="L7" s="106">
        <f t="shared" si="2"/>
        <v>1673027.1500000001</v>
      </c>
      <c r="M7" s="106">
        <f t="shared" si="2"/>
        <v>1734077.6099999999</v>
      </c>
      <c r="N7" s="106">
        <f t="shared" si="2"/>
        <v>2793210.14</v>
      </c>
      <c r="O7" s="106">
        <f t="shared" si="2"/>
        <v>2110449.3499999996</v>
      </c>
      <c r="P7" s="106">
        <f t="shared" ref="P7" si="3">SUM(P8:P21)</f>
        <v>0</v>
      </c>
      <c r="R7" s="4"/>
    </row>
    <row r="8" spans="2:18" s="29" customFormat="1" x14ac:dyDescent="0.25">
      <c r="B8" s="109" t="s">
        <v>17</v>
      </c>
      <c r="C8" s="110">
        <f>D8+E8+F8+G8+H8+I8+J8+K8+L8+M8+N8+O8</f>
        <v>1139074.6599999999</v>
      </c>
      <c r="D8" s="78"/>
      <c r="E8" s="78">
        <v>43144</v>
      </c>
      <c r="F8" s="78">
        <v>101182.78</v>
      </c>
      <c r="G8" s="75">
        <v>109149.02</v>
      </c>
      <c r="H8" s="75">
        <v>126161.65</v>
      </c>
      <c r="I8" s="75">
        <v>112349.44</v>
      </c>
      <c r="J8" s="75">
        <v>110837.58</v>
      </c>
      <c r="K8" s="75">
        <v>109121.38</v>
      </c>
      <c r="L8" s="75">
        <v>92528.56</v>
      </c>
      <c r="M8" s="75">
        <v>114478.87</v>
      </c>
      <c r="N8" s="75">
        <v>112697.55</v>
      </c>
      <c r="O8" s="245">
        <v>107423.83</v>
      </c>
      <c r="P8" s="165"/>
    </row>
    <row r="9" spans="2:18" s="29" customFormat="1" ht="50.25" customHeight="1" x14ac:dyDescent="0.25">
      <c r="B9" s="111" t="s">
        <v>18</v>
      </c>
      <c r="C9" s="110">
        <f t="shared" ref="C9:C26" si="4">D9+E9+F9+G9+H9+I9+J9+K9+L9+M9+N9+O9</f>
        <v>24880</v>
      </c>
      <c r="D9" s="112"/>
      <c r="E9" s="112"/>
      <c r="F9" s="112">
        <v>5101</v>
      </c>
      <c r="G9" s="74">
        <v>4155</v>
      </c>
      <c r="H9" s="74">
        <v>2691</v>
      </c>
      <c r="I9" s="74">
        <v>2149</v>
      </c>
      <c r="J9" s="74">
        <v>1607</v>
      </c>
      <c r="K9" s="74">
        <v>383</v>
      </c>
      <c r="L9" s="74">
        <v>173</v>
      </c>
      <c r="M9" s="74">
        <v>229</v>
      </c>
      <c r="N9" s="74">
        <f>1242+404+765+1367+1298+764+109</f>
        <v>5949</v>
      </c>
      <c r="O9" s="245">
        <v>2443</v>
      </c>
      <c r="P9" s="165"/>
    </row>
    <row r="10" spans="2:18" s="29" customFormat="1" ht="30" x14ac:dyDescent="0.25">
      <c r="B10" s="111" t="s">
        <v>19</v>
      </c>
      <c r="C10" s="110">
        <f t="shared" si="4"/>
        <v>20861</v>
      </c>
      <c r="D10" s="112"/>
      <c r="E10" s="112"/>
      <c r="F10" s="112">
        <v>5529</v>
      </c>
      <c r="G10" s="74">
        <v>2202</v>
      </c>
      <c r="H10" s="74">
        <v>1032</v>
      </c>
      <c r="I10" s="74">
        <v>1115</v>
      </c>
      <c r="J10" s="74">
        <v>386</v>
      </c>
      <c r="K10" s="74">
        <v>381</v>
      </c>
      <c r="L10" s="74">
        <v>32</v>
      </c>
      <c r="M10" s="74">
        <v>150</v>
      </c>
      <c r="N10" s="74">
        <f>1130+1301+1567+1780+1624+133</f>
        <v>7535</v>
      </c>
      <c r="O10" s="245">
        <v>2499</v>
      </c>
      <c r="P10" s="165"/>
    </row>
    <row r="11" spans="2:18" s="29" customFormat="1" x14ac:dyDescent="0.25">
      <c r="B11" s="111" t="s">
        <v>20</v>
      </c>
      <c r="C11" s="110">
        <f t="shared" si="4"/>
        <v>164161.54999999999</v>
      </c>
      <c r="D11" s="112"/>
      <c r="E11" s="112"/>
      <c r="F11" s="112">
        <v>9976.25</v>
      </c>
      <c r="G11" s="74">
        <v>23038.5</v>
      </c>
      <c r="H11" s="74">
        <v>30188.05</v>
      </c>
      <c r="I11" s="74">
        <v>19305.7</v>
      </c>
      <c r="J11" s="74">
        <v>22125.41</v>
      </c>
      <c r="K11" s="74">
        <v>5839.93</v>
      </c>
      <c r="L11" s="74">
        <v>2204.9499999999998</v>
      </c>
      <c r="M11" s="74">
        <v>2292.0500000000002</v>
      </c>
      <c r="N11" s="74">
        <v>8624.39</v>
      </c>
      <c r="O11" s="245">
        <v>40566.32</v>
      </c>
      <c r="P11" s="165"/>
    </row>
    <row r="12" spans="2:18" s="29" customFormat="1" x14ac:dyDescent="0.25">
      <c r="B12" s="111" t="s">
        <v>21</v>
      </c>
      <c r="C12" s="110">
        <f t="shared" si="4"/>
        <v>19211</v>
      </c>
      <c r="D12" s="112"/>
      <c r="E12" s="112"/>
      <c r="F12" s="112">
        <v>3093.22</v>
      </c>
      <c r="G12" s="74">
        <v>1793.87</v>
      </c>
      <c r="H12" s="74">
        <v>1091.0899999999999</v>
      </c>
      <c r="I12" s="74">
        <v>989.93</v>
      </c>
      <c r="J12" s="74">
        <v>536.4</v>
      </c>
      <c r="K12" s="74">
        <v>395.7</v>
      </c>
      <c r="L12" s="74">
        <v>32.5</v>
      </c>
      <c r="M12" s="74">
        <v>261.35000000000002</v>
      </c>
      <c r="N12" s="74">
        <f>1205.9+87.36+991.57+1449.5+2882.23+1425.84+92.8</f>
        <v>8135.2</v>
      </c>
      <c r="O12" s="245">
        <v>2881.74</v>
      </c>
      <c r="P12" s="165"/>
    </row>
    <row r="13" spans="2:18" s="29" customFormat="1" x14ac:dyDescent="0.25">
      <c r="B13" s="111" t="s">
        <v>22</v>
      </c>
      <c r="C13" s="110">
        <f t="shared" si="4"/>
        <v>2822.2299999999996</v>
      </c>
      <c r="D13" s="112"/>
      <c r="E13" s="112"/>
      <c r="F13" s="112">
        <v>113.73</v>
      </c>
      <c r="G13" s="74">
        <v>79.459999999999994</v>
      </c>
      <c r="H13" s="74">
        <v>244.45</v>
      </c>
      <c r="I13" s="74">
        <v>54.68</v>
      </c>
      <c r="J13" s="74">
        <v>209.7</v>
      </c>
      <c r="K13" s="74">
        <v>121.16</v>
      </c>
      <c r="L13" s="74">
        <v>9.32</v>
      </c>
      <c r="M13" s="236"/>
      <c r="N13" s="74">
        <f>27.96+669.83+895.05+110.79+104.36</f>
        <v>1807.99</v>
      </c>
      <c r="O13" s="245">
        <v>181.74</v>
      </c>
      <c r="P13" s="165"/>
    </row>
    <row r="14" spans="2:18" s="29" customFormat="1" x14ac:dyDescent="0.25">
      <c r="B14" s="111" t="s">
        <v>23</v>
      </c>
      <c r="C14" s="110">
        <f t="shared" si="4"/>
        <v>85680.5</v>
      </c>
      <c r="D14" s="112"/>
      <c r="E14" s="112">
        <v>30101.32</v>
      </c>
      <c r="F14" s="112">
        <v>33877.870000000003</v>
      </c>
      <c r="G14" s="74">
        <v>21701.31</v>
      </c>
      <c r="H14" s="74"/>
      <c r="I14" s="74"/>
      <c r="J14" s="74"/>
      <c r="K14" s="74"/>
      <c r="L14" s="74"/>
      <c r="M14" s="74"/>
      <c r="N14" s="74"/>
      <c r="O14" s="245"/>
      <c r="P14" s="165"/>
    </row>
    <row r="15" spans="2:18" s="29" customFormat="1" x14ac:dyDescent="0.25">
      <c r="B15" s="111" t="s">
        <v>24</v>
      </c>
      <c r="C15" s="110">
        <f t="shared" si="4"/>
        <v>56483.06</v>
      </c>
      <c r="D15" s="112"/>
      <c r="E15" s="112"/>
      <c r="F15" s="112">
        <v>9343.3799999999992</v>
      </c>
      <c r="G15" s="74">
        <v>6846.28</v>
      </c>
      <c r="H15" s="74">
        <v>7528.64</v>
      </c>
      <c r="I15" s="74">
        <v>4385.92</v>
      </c>
      <c r="J15" s="74">
        <v>4207.84</v>
      </c>
      <c r="K15" s="74">
        <v>2113.16</v>
      </c>
      <c r="L15" s="74">
        <v>1794.52</v>
      </c>
      <c r="M15" s="74">
        <v>2394.2800000000002</v>
      </c>
      <c r="N15" s="74">
        <f>4164.16+4395.16+638.4+226.24+936.6+292.04+140</f>
        <v>10792.6</v>
      </c>
      <c r="O15" s="245">
        <v>7076.44</v>
      </c>
      <c r="P15" s="165"/>
    </row>
    <row r="16" spans="2:18" s="29" customFormat="1" x14ac:dyDescent="0.25">
      <c r="B16" s="111" t="s">
        <v>25</v>
      </c>
      <c r="C16" s="110">
        <f t="shared" si="4"/>
        <v>7619464.4900000012</v>
      </c>
      <c r="D16" s="112">
        <v>422.94</v>
      </c>
      <c r="E16" s="112">
        <v>2918.42</v>
      </c>
      <c r="F16" s="112">
        <v>894295.1</v>
      </c>
      <c r="G16" s="74">
        <v>731775.93</v>
      </c>
      <c r="H16" s="74">
        <v>829770.57</v>
      </c>
      <c r="I16" s="74">
        <v>726363.56</v>
      </c>
      <c r="J16" s="74">
        <v>713222.9</v>
      </c>
      <c r="K16" s="74">
        <v>652855.06000000006</v>
      </c>
      <c r="L16" s="74">
        <v>665365.98</v>
      </c>
      <c r="M16" s="74">
        <v>684396.13</v>
      </c>
      <c r="N16" s="74">
        <f>768627.92+46953.46+39153.12+111523.6+102254.06</f>
        <v>1068512.1599999999</v>
      </c>
      <c r="O16" s="245">
        <v>649565.74</v>
      </c>
      <c r="P16" s="165"/>
    </row>
    <row r="17" spans="2:16" s="29" customFormat="1" ht="30" x14ac:dyDescent="0.25">
      <c r="B17" s="111" t="s">
        <v>26</v>
      </c>
      <c r="C17" s="110">
        <f t="shared" si="4"/>
        <v>346916.45</v>
      </c>
      <c r="D17" s="112"/>
      <c r="E17" s="112"/>
      <c r="F17" s="112">
        <v>36144.959999999999</v>
      </c>
      <c r="G17" s="74">
        <v>38753.629999999997</v>
      </c>
      <c r="H17" s="74">
        <v>45924.79</v>
      </c>
      <c r="I17" s="74">
        <v>32960.699999999997</v>
      </c>
      <c r="J17" s="74">
        <v>35925.919999999998</v>
      </c>
      <c r="K17" s="74">
        <v>33321.99</v>
      </c>
      <c r="L17" s="74">
        <v>23066.26</v>
      </c>
      <c r="M17" s="74">
        <v>33928.449999999997</v>
      </c>
      <c r="N17" s="74">
        <f>33230.7</f>
        <v>33230.699999999997</v>
      </c>
      <c r="O17" s="245">
        <v>33659.050000000003</v>
      </c>
      <c r="P17" s="165"/>
    </row>
    <row r="18" spans="2:16" s="29" customFormat="1" ht="30" x14ac:dyDescent="0.25">
      <c r="B18" s="111" t="s">
        <v>27</v>
      </c>
      <c r="C18" s="110">
        <f t="shared" si="4"/>
        <v>3571286.48</v>
      </c>
      <c r="D18" s="112"/>
      <c r="E18" s="112"/>
      <c r="F18" s="112">
        <v>568704.46</v>
      </c>
      <c r="G18" s="74">
        <v>420419.49</v>
      </c>
      <c r="H18" s="74">
        <v>345182.94</v>
      </c>
      <c r="I18" s="74">
        <v>282616.09999999998</v>
      </c>
      <c r="J18" s="74">
        <v>269501.65000000002</v>
      </c>
      <c r="K18" s="74">
        <v>141390.95000000001</v>
      </c>
      <c r="L18" s="74">
        <v>109031.89</v>
      </c>
      <c r="M18" s="74">
        <v>127462.97</v>
      </c>
      <c r="N18" s="74">
        <f>390184.16+24259.01+46891.09+94491.35+106634.41+59854.29+19334.45</f>
        <v>741648.76</v>
      </c>
      <c r="O18" s="245">
        <v>565327.27</v>
      </c>
      <c r="P18" s="165"/>
    </row>
    <row r="19" spans="2:16" s="29" customFormat="1" ht="45" x14ac:dyDescent="0.25">
      <c r="B19" s="111" t="s">
        <v>28</v>
      </c>
      <c r="C19" s="110">
        <f t="shared" si="4"/>
        <v>2890916.16</v>
      </c>
      <c r="D19" s="112">
        <v>564890.55000000005</v>
      </c>
      <c r="E19" s="112">
        <v>463248.68</v>
      </c>
      <c r="F19" s="112">
        <v>126274.13</v>
      </c>
      <c r="G19" s="74">
        <v>157130.95000000001</v>
      </c>
      <c r="H19" s="74">
        <v>203768.68</v>
      </c>
      <c r="I19" s="74">
        <v>192745.69</v>
      </c>
      <c r="J19" s="74">
        <v>188985.25</v>
      </c>
      <c r="K19" s="74">
        <v>188309.21</v>
      </c>
      <c r="L19" s="74">
        <v>196762.64</v>
      </c>
      <c r="M19" s="74">
        <v>196638.1</v>
      </c>
      <c r="N19" s="74">
        <v>223053.99</v>
      </c>
      <c r="O19" s="245">
        <v>189108.29</v>
      </c>
      <c r="P19" s="165"/>
    </row>
    <row r="20" spans="2:16" s="29" customFormat="1" ht="30" x14ac:dyDescent="0.25">
      <c r="B20" s="111" t="s">
        <v>29</v>
      </c>
      <c r="C20" s="110">
        <f t="shared" si="4"/>
        <v>5834042.3300000001</v>
      </c>
      <c r="D20" s="112"/>
      <c r="E20" s="112">
        <v>163464</v>
      </c>
      <c r="F20" s="112">
        <v>598538</v>
      </c>
      <c r="G20" s="74">
        <v>599889</v>
      </c>
      <c r="H20" s="74">
        <v>601436</v>
      </c>
      <c r="I20" s="74">
        <v>563796</v>
      </c>
      <c r="J20" s="74">
        <v>559780.65</v>
      </c>
      <c r="K20" s="74">
        <v>558975.63</v>
      </c>
      <c r="L20" s="74">
        <v>569560.14</v>
      </c>
      <c r="M20" s="74">
        <v>559297.41</v>
      </c>
      <c r="N20" s="74">
        <v>559067.57999999996</v>
      </c>
      <c r="O20" s="165">
        <v>500237.92</v>
      </c>
      <c r="P20" s="165"/>
    </row>
    <row r="21" spans="2:16" s="29" customFormat="1" x14ac:dyDescent="0.25">
      <c r="B21" s="111" t="s">
        <v>30</v>
      </c>
      <c r="C21" s="110">
        <f t="shared" si="4"/>
        <v>126443.35999999999</v>
      </c>
      <c r="D21" s="112"/>
      <c r="E21" s="112"/>
      <c r="F21" s="112">
        <v>13285</v>
      </c>
      <c r="G21" s="74">
        <v>13408</v>
      </c>
      <c r="H21" s="74">
        <v>13408</v>
      </c>
      <c r="I21" s="74">
        <v>13001</v>
      </c>
      <c r="J21" s="74">
        <v>13124.43</v>
      </c>
      <c r="K21" s="74">
        <v>13568.31</v>
      </c>
      <c r="L21" s="74">
        <v>12465.39</v>
      </c>
      <c r="M21" s="74">
        <v>12549</v>
      </c>
      <c r="N21" s="74">
        <v>12155.22</v>
      </c>
      <c r="O21" s="165">
        <v>9479.01</v>
      </c>
      <c r="P21" s="165"/>
    </row>
    <row r="22" spans="2:16" x14ac:dyDescent="0.25">
      <c r="B22" s="105" t="s">
        <v>31</v>
      </c>
      <c r="C22" s="106">
        <f>D22+E22+F22+G22+H22+I22+J22+K22+L22+M22+N22+O22+P22</f>
        <v>11743531.410000002</v>
      </c>
      <c r="D22" s="113">
        <f t="shared" ref="D22:M22" si="5">SUM(D23:D26)</f>
        <v>921179.83</v>
      </c>
      <c r="E22" s="113">
        <f t="shared" si="5"/>
        <v>1646632.66</v>
      </c>
      <c r="F22" s="106">
        <f t="shared" si="5"/>
        <v>1438440.68</v>
      </c>
      <c r="G22" s="107">
        <f t="shared" si="5"/>
        <v>1319406.52</v>
      </c>
      <c r="H22" s="107">
        <f t="shared" si="5"/>
        <v>1134658.2700000003</v>
      </c>
      <c r="I22" s="107">
        <f t="shared" si="5"/>
        <v>901611.24</v>
      </c>
      <c r="J22" s="108">
        <f t="shared" si="5"/>
        <v>729384.24</v>
      </c>
      <c r="K22" s="108">
        <f t="shared" si="5"/>
        <v>623453</v>
      </c>
      <c r="L22" s="108">
        <f t="shared" si="5"/>
        <v>530051</v>
      </c>
      <c r="M22" s="108">
        <f t="shared" si="5"/>
        <v>496441</v>
      </c>
      <c r="N22" s="108">
        <f t="shared" ref="N22:O22" si="6">SUM(N23:N26)</f>
        <v>706185</v>
      </c>
      <c r="O22" s="108">
        <f t="shared" si="6"/>
        <v>1296087.97</v>
      </c>
      <c r="P22" s="108">
        <f t="shared" ref="P22" si="7">SUM(P23:P26)</f>
        <v>0</v>
      </c>
    </row>
    <row r="23" spans="2:16" x14ac:dyDescent="0.25">
      <c r="B23" s="114" t="s">
        <v>32</v>
      </c>
      <c r="C23" s="110">
        <f t="shared" si="4"/>
        <v>11251941.810000001</v>
      </c>
      <c r="D23" s="115">
        <f>874670.99+1471.96</f>
        <v>876142.95</v>
      </c>
      <c r="E23" s="115">
        <v>1610751.99</v>
      </c>
      <c r="F23" s="116">
        <v>1390091.28</v>
      </c>
      <c r="G23" s="74">
        <v>1261505.93</v>
      </c>
      <c r="H23" s="74">
        <v>1095536.0900000001</v>
      </c>
      <c r="I23" s="74">
        <v>840694.6</v>
      </c>
      <c r="J23" s="75">
        <f>696752+49</f>
        <v>696801</v>
      </c>
      <c r="K23" s="75">
        <v>596509</v>
      </c>
      <c r="L23" s="75">
        <v>480438</v>
      </c>
      <c r="M23" s="75">
        <v>486652</v>
      </c>
      <c r="N23" s="75">
        <v>668887</v>
      </c>
      <c r="O23" s="146">
        <v>1247931.97</v>
      </c>
      <c r="P23" s="146"/>
    </row>
    <row r="24" spans="2:16" ht="30" x14ac:dyDescent="0.25">
      <c r="B24" s="117" t="s">
        <v>33</v>
      </c>
      <c r="C24" s="110">
        <f t="shared" si="4"/>
        <v>118292.21</v>
      </c>
      <c r="D24" s="115">
        <f>15513.45+19021.43</f>
        <v>34534.880000000005</v>
      </c>
      <c r="E24" s="115">
        <v>12209.04</v>
      </c>
      <c r="F24" s="116">
        <v>10199.74</v>
      </c>
      <c r="G24" s="74">
        <v>8708.7800000000007</v>
      </c>
      <c r="H24" s="74">
        <v>8314.08</v>
      </c>
      <c r="I24" s="74">
        <v>8967.4500000000007</v>
      </c>
      <c r="J24" s="75">
        <f>8046-116.76</f>
        <v>7929.24</v>
      </c>
      <c r="K24" s="75">
        <f>6788+496</f>
        <v>7284</v>
      </c>
      <c r="L24" s="75">
        <v>5925</v>
      </c>
      <c r="M24" s="75">
        <v>4684</v>
      </c>
      <c r="N24" s="75">
        <v>5103</v>
      </c>
      <c r="O24" s="146">
        <v>4433</v>
      </c>
      <c r="P24" s="246"/>
    </row>
    <row r="25" spans="2:16" ht="30" x14ac:dyDescent="0.25">
      <c r="B25" s="117" t="s">
        <v>34</v>
      </c>
      <c r="C25" s="110">
        <f t="shared" si="4"/>
        <v>50121.86</v>
      </c>
      <c r="D25" s="118">
        <f>5072.38+3503.45</f>
        <v>8575.83</v>
      </c>
      <c r="E25" s="118">
        <v>6100.74</v>
      </c>
      <c r="F25" s="119">
        <v>6271.27</v>
      </c>
      <c r="G25" s="74">
        <v>7471.84</v>
      </c>
      <c r="H25" s="74">
        <v>4628.76</v>
      </c>
      <c r="I25" s="74">
        <v>4980.42</v>
      </c>
      <c r="J25" s="75">
        <v>3925</v>
      </c>
      <c r="K25" s="75">
        <v>1554</v>
      </c>
      <c r="L25" s="75">
        <v>417</v>
      </c>
      <c r="M25" s="75">
        <v>730</v>
      </c>
      <c r="N25" s="75">
        <v>2489</v>
      </c>
      <c r="O25" s="146">
        <v>2978</v>
      </c>
      <c r="P25" s="246"/>
    </row>
    <row r="26" spans="2:16" ht="30" x14ac:dyDescent="0.25">
      <c r="B26" s="117" t="s">
        <v>35</v>
      </c>
      <c r="C26" s="110">
        <f t="shared" si="4"/>
        <v>323175.53000000003</v>
      </c>
      <c r="D26" s="118">
        <v>1926.17</v>
      </c>
      <c r="E26" s="118">
        <v>17570.89</v>
      </c>
      <c r="F26" s="119">
        <v>31878.39</v>
      </c>
      <c r="G26" s="74">
        <v>41719.97</v>
      </c>
      <c r="H26" s="74">
        <v>26179.34</v>
      </c>
      <c r="I26" s="74">
        <v>46968.77</v>
      </c>
      <c r="J26" s="75">
        <v>20729</v>
      </c>
      <c r="K26" s="75">
        <v>18106</v>
      </c>
      <c r="L26" s="75">
        <f>15547+27724</f>
        <v>43271</v>
      </c>
      <c r="M26" s="75">
        <v>4375</v>
      </c>
      <c r="N26" s="75">
        <v>29706</v>
      </c>
      <c r="O26" s="146">
        <v>40745</v>
      </c>
      <c r="P26" s="246"/>
    </row>
    <row r="27" spans="2:16" x14ac:dyDescent="0.25">
      <c r="B27" s="105" t="s">
        <v>36</v>
      </c>
      <c r="C27" s="106">
        <f>D27+E27+F27+G27+H27+I27+J27+K27+L27+M27+N27+O27+P27</f>
        <v>90999.94</v>
      </c>
      <c r="D27" s="113"/>
      <c r="E27" s="106">
        <v>1109</v>
      </c>
      <c r="F27" s="106">
        <v>17251.88</v>
      </c>
      <c r="G27" s="107">
        <f>13484.37+10172.7</f>
        <v>23657.07</v>
      </c>
      <c r="H27" s="107">
        <v>5207.1899999999996</v>
      </c>
      <c r="I27" s="107">
        <v>11829.79</v>
      </c>
      <c r="J27" s="108">
        <v>0</v>
      </c>
      <c r="K27" s="108">
        <v>16287.68</v>
      </c>
      <c r="L27" s="108"/>
      <c r="M27" s="108"/>
      <c r="N27" s="108">
        <v>1004</v>
      </c>
      <c r="O27" s="108">
        <v>14653.33</v>
      </c>
      <c r="P27" s="108"/>
    </row>
    <row r="28" spans="2:16" ht="46.5" customHeight="1" x14ac:dyDescent="0.25">
      <c r="B28" s="120" t="s">
        <v>37</v>
      </c>
      <c r="C28" s="106">
        <f>D28+E28+F28+G28+H28+I28+J28+K28+L28+M28+N28+O28+P28</f>
        <v>342476.91</v>
      </c>
      <c r="D28" s="113">
        <v>39045.440000000002</v>
      </c>
      <c r="E28" s="106">
        <v>22748.65</v>
      </c>
      <c r="F28" s="106"/>
      <c r="G28" s="107"/>
      <c r="H28" s="107">
        <f>25516.62+51033.24</f>
        <v>76549.86</v>
      </c>
      <c r="I28" s="107">
        <v>25516.62</v>
      </c>
      <c r="J28" s="107">
        <v>25516.62</v>
      </c>
      <c r="K28" s="108">
        <v>25516.62</v>
      </c>
      <c r="L28" s="107">
        <v>25516.62</v>
      </c>
      <c r="M28" s="108">
        <v>25516.62</v>
      </c>
      <c r="N28" s="108">
        <v>25516.62</v>
      </c>
      <c r="O28" s="108">
        <v>25516.62</v>
      </c>
      <c r="P28" s="108">
        <v>25516.62</v>
      </c>
    </row>
    <row r="29" spans="2:16" ht="28.5" x14ac:dyDescent="0.25">
      <c r="B29" s="120" t="s">
        <v>38</v>
      </c>
      <c r="C29" s="106">
        <f>D29+E29+F29+G29+H29+I29+J29+K29+L29+M29+N29+O29+P29</f>
        <v>154888.17000000001</v>
      </c>
      <c r="D29" s="113">
        <v>30848.86</v>
      </c>
      <c r="E29" s="106">
        <v>11205.78</v>
      </c>
      <c r="F29" s="106">
        <v>7071.28</v>
      </c>
      <c r="G29" s="107">
        <v>12382.78</v>
      </c>
      <c r="H29" s="107">
        <v>7103.07</v>
      </c>
      <c r="I29" s="107">
        <v>10016.85</v>
      </c>
      <c r="J29" s="108">
        <v>19641.61</v>
      </c>
      <c r="K29" s="108">
        <v>10973.92</v>
      </c>
      <c r="L29" s="108">
        <v>9558.0400000000009</v>
      </c>
      <c r="M29" s="108">
        <v>14674.32</v>
      </c>
      <c r="N29" s="108">
        <v>12841.26</v>
      </c>
      <c r="O29" s="108">
        <v>8570.4</v>
      </c>
      <c r="P29" s="108"/>
    </row>
    <row r="30" spans="2:16" s="5" customFormat="1" ht="32.25" customHeight="1" x14ac:dyDescent="0.25">
      <c r="B30" s="120" t="s">
        <v>231</v>
      </c>
      <c r="C30" s="106">
        <f>D30+E30+F30+G30+H30+I30+J30+K30+L30+M30+N30+O30+P30</f>
        <v>11179028</v>
      </c>
      <c r="D30" s="113"/>
      <c r="E30" s="106"/>
      <c r="F30" s="106"/>
      <c r="G30" s="107"/>
      <c r="H30" s="107"/>
      <c r="I30" s="107"/>
      <c r="J30" s="108"/>
      <c r="K30" s="108"/>
      <c r="L30" s="108"/>
      <c r="M30" s="108"/>
      <c r="N30" s="108">
        <v>964947</v>
      </c>
      <c r="O30" s="108">
        <v>4119632</v>
      </c>
      <c r="P30" s="244">
        <v>6094449</v>
      </c>
    </row>
    <row r="31" spans="2:16" s="5" customFormat="1" x14ac:dyDescent="0.25">
      <c r="B31" s="121"/>
      <c r="C31" s="122"/>
      <c r="D31" s="123"/>
      <c r="E31" s="122"/>
      <c r="F31" s="122"/>
      <c r="G31" s="124"/>
      <c r="H31" s="124"/>
      <c r="I31" s="124"/>
      <c r="J31" s="125"/>
      <c r="K31" s="125"/>
      <c r="L31" s="125"/>
    </row>
    <row r="32" spans="2:16" s="5" customFormat="1" x14ac:dyDescent="0.25">
      <c r="B32" s="121"/>
      <c r="C32" s="122"/>
      <c r="D32" s="123"/>
      <c r="E32" s="122"/>
      <c r="F32" s="122"/>
      <c r="G32" s="124"/>
      <c r="H32" s="124"/>
      <c r="I32" s="124"/>
      <c r="J32" s="125"/>
      <c r="K32" s="125"/>
      <c r="L32" s="125"/>
      <c r="M32" s="132"/>
    </row>
  </sheetData>
  <mergeCells count="3">
    <mergeCell ref="B3:G3"/>
    <mergeCell ref="C4:C5"/>
    <mergeCell ref="O5:P5"/>
  </mergeCells>
  <phoneticPr fontId="14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B1CD-2846-44EC-9598-7EE38CADBE4D}">
  <dimension ref="B1:R33"/>
  <sheetViews>
    <sheetView zoomScale="80" zoomScaleNormal="80" workbookViewId="0">
      <pane xSplit="5" ySplit="6" topLeftCell="F16" activePane="bottomRight" state="frozen"/>
      <selection activeCell="O12" sqref="O12"/>
      <selection pane="topRight" activeCell="O12" sqref="O12"/>
      <selection pane="bottomLeft" activeCell="O12" sqref="O12"/>
      <selection pane="bottomRight" activeCell="G36" sqref="G36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" customWidth="1"/>
    <col min="4" max="4" width="11.140625" style="3" customWidth="1"/>
    <col min="5" max="5" width="12.85546875" style="3" customWidth="1"/>
    <col min="6" max="6" width="13" style="4" customWidth="1"/>
    <col min="7" max="7" width="15.5703125" style="2" customWidth="1"/>
    <col min="8" max="8" width="17" style="1" customWidth="1"/>
    <col min="9" max="9" width="19.5703125" style="1" customWidth="1"/>
    <col min="10" max="12" width="15.85546875" style="29" customWidth="1"/>
    <col min="13" max="13" width="14.28515625" style="1" customWidth="1"/>
    <col min="14" max="14" width="15.7109375" style="1" customWidth="1"/>
    <col min="15" max="15" width="14.5703125" style="1" customWidth="1"/>
    <col min="16" max="16" width="13.42578125" style="1" customWidth="1"/>
    <col min="17" max="17" width="9.42578125" style="1"/>
    <col min="18" max="18" width="13.5703125" style="1" bestFit="1" customWidth="1"/>
    <col min="19" max="16384" width="9.42578125" style="1"/>
  </cols>
  <sheetData>
    <row r="1" spans="2:18" x14ac:dyDescent="0.25">
      <c r="B1" s="31" t="s">
        <v>234</v>
      </c>
      <c r="C1" s="51"/>
      <c r="D1" s="52"/>
      <c r="E1" s="52"/>
      <c r="F1" s="53"/>
      <c r="G1" s="54"/>
      <c r="H1" s="51"/>
      <c r="I1" s="184" t="s">
        <v>176</v>
      </c>
      <c r="J1" s="205">
        <f>D6+E6+F6+G6+H6+I6+J6+K6+L6+M6+N6+O6</f>
        <v>84695159.039999992</v>
      </c>
      <c r="K1" s="55"/>
      <c r="L1" s="55"/>
      <c r="M1" s="51"/>
    </row>
    <row r="2" spans="2:18" ht="30" x14ac:dyDescent="0.25">
      <c r="B2" s="50"/>
      <c r="C2" s="51"/>
      <c r="D2" s="52"/>
      <c r="E2" s="52"/>
      <c r="F2" s="53"/>
      <c r="G2" s="54"/>
      <c r="H2" s="51"/>
      <c r="I2" s="210" t="s">
        <v>178</v>
      </c>
      <c r="J2" s="205"/>
      <c r="K2" s="55"/>
      <c r="L2" s="55"/>
      <c r="M2" s="51"/>
    </row>
    <row r="3" spans="2:18" s="22" customFormat="1" ht="15.75" x14ac:dyDescent="0.25">
      <c r="B3" s="248" t="s">
        <v>39</v>
      </c>
      <c r="C3" s="248"/>
      <c r="D3" s="248"/>
      <c r="E3" s="248"/>
      <c r="F3" s="248"/>
      <c r="G3" s="248"/>
      <c r="H3" s="56"/>
      <c r="I3" s="210" t="s">
        <v>129</v>
      </c>
      <c r="J3" s="225"/>
      <c r="K3" s="57"/>
      <c r="L3" s="57"/>
      <c r="M3" s="56"/>
    </row>
    <row r="4" spans="2:18" ht="38.25" customHeight="1" x14ac:dyDescent="0.25">
      <c r="B4" s="58"/>
      <c r="C4" s="215" t="s">
        <v>1</v>
      </c>
      <c r="D4" s="59" t="s">
        <v>2</v>
      </c>
      <c r="E4" s="60" t="s">
        <v>3</v>
      </c>
      <c r="F4" s="59" t="s">
        <v>4</v>
      </c>
      <c r="G4" s="61" t="s">
        <v>5</v>
      </c>
      <c r="H4" s="62" t="s">
        <v>6</v>
      </c>
      <c r="I4" s="61" t="s">
        <v>7</v>
      </c>
      <c r="J4" s="63" t="s">
        <v>8</v>
      </c>
      <c r="K4" s="63" t="s">
        <v>9</v>
      </c>
      <c r="L4" s="63" t="s">
        <v>10</v>
      </c>
      <c r="M4" s="63" t="s">
        <v>86</v>
      </c>
      <c r="N4" s="63" t="s">
        <v>173</v>
      </c>
      <c r="O4" s="63" t="s">
        <v>205</v>
      </c>
      <c r="P4" s="63" t="s">
        <v>2</v>
      </c>
    </row>
    <row r="5" spans="2:18" ht="75" x14ac:dyDescent="0.25">
      <c r="B5" s="253" t="s">
        <v>40</v>
      </c>
      <c r="C5" s="64"/>
      <c r="D5" s="65" t="s">
        <v>11</v>
      </c>
      <c r="E5" s="66" t="s">
        <v>41</v>
      </c>
      <c r="F5" s="66" t="s">
        <v>42</v>
      </c>
      <c r="G5" s="66" t="s">
        <v>43</v>
      </c>
      <c r="H5" s="66" t="s">
        <v>44</v>
      </c>
      <c r="I5" s="66" t="s">
        <v>45</v>
      </c>
      <c r="J5" s="66" t="s">
        <v>46</v>
      </c>
      <c r="K5" s="66" t="s">
        <v>47</v>
      </c>
      <c r="L5" s="66" t="s">
        <v>194</v>
      </c>
      <c r="M5" s="66" t="s">
        <v>195</v>
      </c>
      <c r="N5" s="66" t="s">
        <v>227</v>
      </c>
      <c r="O5" s="66" t="s">
        <v>232</v>
      </c>
      <c r="P5" s="15"/>
    </row>
    <row r="6" spans="2:18" x14ac:dyDescent="0.25">
      <c r="B6" s="254"/>
      <c r="C6" s="68">
        <f>SUM(C7:C20)</f>
        <v>84695159.039999992</v>
      </c>
      <c r="D6" s="68">
        <f t="shared" ref="D6:L6" si="0">SUM(D7:D20)</f>
        <v>0</v>
      </c>
      <c r="E6" s="68">
        <f t="shared" si="0"/>
        <v>4651641.8899999997</v>
      </c>
      <c r="F6" s="69">
        <f t="shared" si="0"/>
        <v>9535052.8200000003</v>
      </c>
      <c r="G6" s="70">
        <f t="shared" si="0"/>
        <v>8038168.2200000007</v>
      </c>
      <c r="H6" s="70">
        <f t="shared" si="0"/>
        <v>9033460.3599999994</v>
      </c>
      <c r="I6" s="70">
        <f t="shared" si="0"/>
        <v>9084726.8200000003</v>
      </c>
      <c r="J6" s="70">
        <f t="shared" si="0"/>
        <v>7296094.7899999991</v>
      </c>
      <c r="K6" s="70">
        <f t="shared" si="0"/>
        <v>4213410.92</v>
      </c>
      <c r="L6" s="70">
        <f t="shared" si="0"/>
        <v>4382852.59</v>
      </c>
      <c r="M6" s="70">
        <f>SUM(M7:M20)</f>
        <v>6001085.0499999989</v>
      </c>
      <c r="N6" s="70">
        <f>SUM(N7:N20)</f>
        <v>12895905.569999998</v>
      </c>
      <c r="O6" s="70">
        <f>SUM(O7:O20)</f>
        <v>9562760.0099999998</v>
      </c>
      <c r="P6" s="231">
        <f>SUM(P7:P20)</f>
        <v>0</v>
      </c>
      <c r="R6" s="3"/>
    </row>
    <row r="7" spans="2:18" ht="30" x14ac:dyDescent="0.25">
      <c r="B7" s="71" t="s">
        <v>48</v>
      </c>
      <c r="C7" s="72">
        <f>SUM(D7:P7)</f>
        <v>4137330.31</v>
      </c>
      <c r="D7" s="73"/>
      <c r="E7" s="73">
        <v>135009.4</v>
      </c>
      <c r="F7" s="73">
        <v>474637.55</v>
      </c>
      <c r="G7" s="74">
        <v>493445.2</v>
      </c>
      <c r="H7" s="74">
        <v>498525.88</v>
      </c>
      <c r="I7" s="74">
        <f>458035.2+5149.02-44562.61+660.1</f>
        <v>419281.71</v>
      </c>
      <c r="J7" s="74">
        <v>393722.05</v>
      </c>
      <c r="K7" s="74">
        <v>295826.51</v>
      </c>
      <c r="L7" s="75">
        <v>311198.98</v>
      </c>
      <c r="M7" s="75">
        <v>288830.33</v>
      </c>
      <c r="N7" s="232">
        <v>309638.2</v>
      </c>
      <c r="O7" s="75">
        <v>517214.5</v>
      </c>
      <c r="P7" s="15"/>
      <c r="R7" s="3"/>
    </row>
    <row r="8" spans="2:18" ht="30" x14ac:dyDescent="0.25">
      <c r="B8" s="76" t="s">
        <v>49</v>
      </c>
      <c r="C8" s="72">
        <f t="shared" ref="C8:C20" si="1">SUM(D8:P8)</f>
        <v>713273.95</v>
      </c>
      <c r="D8" s="73"/>
      <c r="E8" s="73"/>
      <c r="F8" s="73">
        <v>50019.29</v>
      </c>
      <c r="G8" s="74">
        <v>42619.8</v>
      </c>
      <c r="H8" s="74">
        <v>47293.21</v>
      </c>
      <c r="I8" s="74">
        <v>51883.34</v>
      </c>
      <c r="J8" s="75">
        <v>52902.44</v>
      </c>
      <c r="K8" s="75">
        <v>38432.400000000001</v>
      </c>
      <c r="L8" s="75">
        <f>291930.29-7919.07</f>
        <v>284011.21999999997</v>
      </c>
      <c r="M8" s="75">
        <v>34976.589999999997</v>
      </c>
      <c r="N8" s="232">
        <v>48651.040000000001</v>
      </c>
      <c r="O8" s="75">
        <v>62484.62</v>
      </c>
      <c r="P8" s="15"/>
    </row>
    <row r="9" spans="2:18" ht="50.25" customHeight="1" x14ac:dyDescent="0.25">
      <c r="B9" s="71" t="s">
        <v>50</v>
      </c>
      <c r="C9" s="72">
        <f t="shared" si="1"/>
        <v>10057144.65</v>
      </c>
      <c r="D9" s="73"/>
      <c r="E9" s="73">
        <v>464124.91</v>
      </c>
      <c r="F9" s="73">
        <v>455003.71</v>
      </c>
      <c r="G9" s="74">
        <v>190342.01</v>
      </c>
      <c r="H9" s="74">
        <v>1285069.24</v>
      </c>
      <c r="I9" s="74">
        <f>998650.38+235110.07+7133.8</f>
        <v>1240894.25</v>
      </c>
      <c r="J9" s="74">
        <v>739810.24</v>
      </c>
      <c r="K9" s="74">
        <v>334244.98</v>
      </c>
      <c r="L9" s="75">
        <v>276070.48</v>
      </c>
      <c r="M9" s="75">
        <v>822409.4</v>
      </c>
      <c r="N9" s="232">
        <v>2476113.2999999998</v>
      </c>
      <c r="O9" s="75">
        <v>1773062.13</v>
      </c>
      <c r="P9" s="15"/>
    </row>
    <row r="10" spans="2:18" x14ac:dyDescent="0.25">
      <c r="B10" s="58" t="s">
        <v>51</v>
      </c>
      <c r="C10" s="72">
        <f t="shared" si="1"/>
        <v>9042205.1499999985</v>
      </c>
      <c r="D10" s="73"/>
      <c r="E10" s="73">
        <v>331285.09000000003</v>
      </c>
      <c r="F10" s="73">
        <v>842491.88</v>
      </c>
      <c r="G10" s="74">
        <v>807843.72</v>
      </c>
      <c r="H10" s="74">
        <v>924805.95</v>
      </c>
      <c r="I10" s="74">
        <f>1003823.49+57756.05+3790.25+70314.92</f>
        <v>1135684.71</v>
      </c>
      <c r="J10" s="74">
        <v>1099714.21</v>
      </c>
      <c r="K10" s="74">
        <v>574945.35</v>
      </c>
      <c r="L10" s="75">
        <v>521823.56</v>
      </c>
      <c r="M10" s="75">
        <v>823310.07</v>
      </c>
      <c r="N10" s="232">
        <v>1980300.61</v>
      </c>
      <c r="O10" s="75"/>
      <c r="P10" s="15"/>
    </row>
    <row r="11" spans="2:18" x14ac:dyDescent="0.25">
      <c r="B11" s="58" t="s">
        <v>52</v>
      </c>
      <c r="C11" s="72">
        <f t="shared" si="1"/>
        <v>1784677.81</v>
      </c>
      <c r="D11" s="73"/>
      <c r="E11" s="73">
        <v>125684.15</v>
      </c>
      <c r="F11" s="73">
        <v>222546.51</v>
      </c>
      <c r="G11" s="74">
        <v>189739.6</v>
      </c>
      <c r="H11" s="74">
        <v>159212.74</v>
      </c>
      <c r="I11" s="74">
        <f>139948.96+2034.22-1543.78+6651.26</f>
        <v>147090.66</v>
      </c>
      <c r="J11" s="74">
        <v>144653.28</v>
      </c>
      <c r="K11" s="74">
        <v>103716.38</v>
      </c>
      <c r="L11" s="75">
        <v>94700.9</v>
      </c>
      <c r="M11" s="75">
        <v>97463.27</v>
      </c>
      <c r="N11" s="232">
        <v>204525.18</v>
      </c>
      <c r="O11" s="75">
        <v>295345.14</v>
      </c>
      <c r="P11" s="15"/>
    </row>
    <row r="12" spans="2:18" x14ac:dyDescent="0.25">
      <c r="B12" s="58" t="s">
        <v>53</v>
      </c>
      <c r="C12" s="72">
        <f t="shared" si="1"/>
        <v>30383645.09</v>
      </c>
      <c r="D12" s="73"/>
      <c r="E12" s="73">
        <v>1602700.87</v>
      </c>
      <c r="F12" s="73">
        <v>3540594.79</v>
      </c>
      <c r="G12" s="75">
        <v>3308555.82</v>
      </c>
      <c r="H12" s="75">
        <v>3053079.06</v>
      </c>
      <c r="I12" s="75">
        <f>2678473.5+523851.53+2983.13+31.54</f>
        <v>3205339.7</v>
      </c>
      <c r="J12" s="75">
        <v>2501921.13</v>
      </c>
      <c r="K12" s="75">
        <v>1465575.43</v>
      </c>
      <c r="L12" s="75">
        <v>1221108.8400000001</v>
      </c>
      <c r="M12" s="75">
        <v>1811097.73</v>
      </c>
      <c r="N12" s="232">
        <v>3768384.68</v>
      </c>
      <c r="O12" s="75">
        <v>4905287.04</v>
      </c>
      <c r="P12" s="15"/>
    </row>
    <row r="13" spans="2:18" x14ac:dyDescent="0.25">
      <c r="B13" s="58" t="s">
        <v>54</v>
      </c>
      <c r="C13" s="72">
        <f t="shared" si="1"/>
        <v>25799908.370000001</v>
      </c>
      <c r="D13" s="73"/>
      <c r="E13" s="73">
        <v>1621194.27</v>
      </c>
      <c r="F13" s="73">
        <v>3850948.82</v>
      </c>
      <c r="G13" s="75">
        <v>2872068.4</v>
      </c>
      <c r="H13" s="75">
        <v>2892870.78</v>
      </c>
      <c r="I13" s="75">
        <f>2660417.93+17977.43+23264.22+9906.44</f>
        <v>2711566.0200000005</v>
      </c>
      <c r="J13" s="75">
        <v>2188777.96</v>
      </c>
      <c r="K13" s="75">
        <v>1250449.73</v>
      </c>
      <c r="L13" s="75">
        <v>1193190.1599999999</v>
      </c>
      <c r="M13" s="75">
        <v>1755793.88</v>
      </c>
      <c r="N13" s="232">
        <v>3621356.05</v>
      </c>
      <c r="O13" s="75">
        <v>1841692.3</v>
      </c>
      <c r="P13" s="15"/>
    </row>
    <row r="14" spans="2:18" ht="30" x14ac:dyDescent="0.25">
      <c r="B14" s="71" t="s">
        <v>55</v>
      </c>
      <c r="C14" s="72">
        <f t="shared" si="1"/>
        <v>158467.76</v>
      </c>
      <c r="D14" s="73"/>
      <c r="E14" s="73"/>
      <c r="F14" s="73"/>
      <c r="G14" s="75"/>
      <c r="H14" s="75">
        <v>17769.080000000002</v>
      </c>
      <c r="I14" s="75">
        <f>21131.44+3286.4+9815.66</f>
        <v>34233.5</v>
      </c>
      <c r="J14" s="75">
        <v>18959.16</v>
      </c>
      <c r="K14" s="75">
        <v>20362.240000000002</v>
      </c>
      <c r="L14" s="75">
        <v>19128.04</v>
      </c>
      <c r="M14" s="75">
        <v>16399.96</v>
      </c>
      <c r="N14" s="232">
        <v>14556.44</v>
      </c>
      <c r="O14" s="75">
        <v>17059.34</v>
      </c>
      <c r="P14" s="15"/>
    </row>
    <row r="15" spans="2:18" x14ac:dyDescent="0.25">
      <c r="B15" s="76" t="s">
        <v>56</v>
      </c>
      <c r="C15" s="72">
        <f t="shared" si="1"/>
        <v>165378.85999999999</v>
      </c>
      <c r="D15" s="73"/>
      <c r="E15" s="73"/>
      <c r="F15" s="73"/>
      <c r="G15" s="75"/>
      <c r="H15" s="75"/>
      <c r="I15" s="75">
        <v>8262.5400000000009</v>
      </c>
      <c r="J15" s="75">
        <v>23144.76</v>
      </c>
      <c r="K15" s="75">
        <v>3041.01</v>
      </c>
      <c r="L15" s="75">
        <v>12026.96</v>
      </c>
      <c r="M15" s="75">
        <v>11962.07</v>
      </c>
      <c r="N15" s="232">
        <v>15790.78</v>
      </c>
      <c r="O15" s="75">
        <v>91150.74</v>
      </c>
      <c r="P15" s="15"/>
    </row>
    <row r="16" spans="2:18" x14ac:dyDescent="0.25">
      <c r="B16" s="76" t="s">
        <v>57</v>
      </c>
      <c r="C16" s="72">
        <f t="shared" si="1"/>
        <v>64410.38</v>
      </c>
      <c r="D16" s="73"/>
      <c r="E16" s="73"/>
      <c r="F16" s="73"/>
      <c r="G16" s="75"/>
      <c r="H16" s="75"/>
      <c r="I16" s="75">
        <f>2161.08+1952.5</f>
        <v>4113.58</v>
      </c>
      <c r="J16" s="75">
        <v>4162.08</v>
      </c>
      <c r="K16" s="75">
        <v>3148.24</v>
      </c>
      <c r="L16" s="75">
        <v>6136.4</v>
      </c>
      <c r="M16" s="75">
        <v>5175.92</v>
      </c>
      <c r="N16" s="232">
        <v>19129.560000000001</v>
      </c>
      <c r="O16" s="75">
        <v>22544.6</v>
      </c>
      <c r="P16" s="15"/>
    </row>
    <row r="17" spans="2:16" x14ac:dyDescent="0.25">
      <c r="B17" s="58" t="s">
        <v>58</v>
      </c>
      <c r="C17" s="72">
        <f t="shared" si="1"/>
        <v>1679423.77</v>
      </c>
      <c r="D17" s="73"/>
      <c r="E17" s="73">
        <v>363719.9</v>
      </c>
      <c r="F17" s="73">
        <v>98810.27</v>
      </c>
      <c r="G17" s="75">
        <v>133553.67000000001</v>
      </c>
      <c r="H17" s="75">
        <v>154468.42000000001</v>
      </c>
      <c r="I17" s="75">
        <f>27042.52+99114.69</f>
        <v>126157.21</v>
      </c>
      <c r="J17" s="75">
        <v>126887.88</v>
      </c>
      <c r="K17" s="75">
        <v>122595.05</v>
      </c>
      <c r="L17" s="75">
        <f>113572.45-28.08</f>
        <v>113544.37</v>
      </c>
      <c r="M17" s="75">
        <v>102796.14</v>
      </c>
      <c r="N17" s="232">
        <f>336890.86</f>
        <v>336890.86</v>
      </c>
      <c r="O17" s="75"/>
      <c r="P17" s="15"/>
    </row>
    <row r="18" spans="2:16" x14ac:dyDescent="0.25">
      <c r="B18" s="58" t="s">
        <v>59</v>
      </c>
      <c r="C18" s="72">
        <f t="shared" si="1"/>
        <v>58337.36</v>
      </c>
      <c r="D18" s="73"/>
      <c r="E18" s="73">
        <v>7923.3</v>
      </c>
      <c r="F18" s="73"/>
      <c r="G18" s="75"/>
      <c r="H18" s="75">
        <v>366</v>
      </c>
      <c r="I18" s="75">
        <v>219.6</v>
      </c>
      <c r="J18" s="75">
        <v>1439.6</v>
      </c>
      <c r="K18" s="75">
        <v>1073.5999999999999</v>
      </c>
      <c r="L18" s="75">
        <v>8550</v>
      </c>
      <c r="M18" s="75">
        <f>1976.89+4136.94+2928+6504.55+6030.67</f>
        <v>21577.050000000003</v>
      </c>
      <c r="N18" s="75">
        <f>14263.35+2924.86</f>
        <v>17188.21</v>
      </c>
      <c r="O18" s="75"/>
      <c r="P18" s="15"/>
    </row>
    <row r="19" spans="2:16" ht="30" x14ac:dyDescent="0.25">
      <c r="B19" s="71" t="s">
        <v>60</v>
      </c>
      <c r="C19" s="72">
        <f t="shared" si="1"/>
        <v>600280.89</v>
      </c>
      <c r="D19" s="73"/>
      <c r="E19" s="73"/>
      <c r="F19" s="73"/>
      <c r="G19" s="75"/>
      <c r="H19" s="75"/>
      <c r="I19" s="75"/>
      <c r="J19" s="75"/>
      <c r="K19" s="75"/>
      <c r="L19" s="75">
        <v>300894.51</v>
      </c>
      <c r="M19" s="75">
        <f>54817.98+124268.14</f>
        <v>179086.12</v>
      </c>
      <c r="N19" s="232">
        <v>83380.66</v>
      </c>
      <c r="O19" s="75">
        <v>36919.599999999999</v>
      </c>
      <c r="P19" s="15"/>
    </row>
    <row r="20" spans="2:16" x14ac:dyDescent="0.25">
      <c r="B20" s="58" t="s">
        <v>61</v>
      </c>
      <c r="C20" s="72">
        <f t="shared" si="1"/>
        <v>50674.69</v>
      </c>
      <c r="D20" s="73"/>
      <c r="E20" s="73"/>
      <c r="F20" s="73"/>
      <c r="G20" s="74"/>
      <c r="H20" s="74"/>
      <c r="I20" s="74"/>
      <c r="J20" s="74"/>
      <c r="K20" s="74"/>
      <c r="L20" s="74">
        <f>20468.17</f>
        <v>20468.169999999998</v>
      </c>
      <c r="M20" s="74">
        <v>30206.52</v>
      </c>
      <c r="N20" s="233"/>
      <c r="O20" s="233"/>
      <c r="P20" s="15"/>
    </row>
    <row r="21" spans="2:16" x14ac:dyDescent="0.25">
      <c r="B21" s="51"/>
      <c r="C21" s="51"/>
      <c r="D21" s="222"/>
      <c r="E21" s="222"/>
      <c r="F21" s="222"/>
      <c r="G21" s="223"/>
      <c r="H21" s="223"/>
      <c r="I21" s="223"/>
      <c r="J21" s="223"/>
      <c r="K21" s="223"/>
      <c r="L21" s="223"/>
      <c r="M21" s="223"/>
    </row>
    <row r="22" spans="2:16" x14ac:dyDescent="0.25">
      <c r="B22" s="31" t="s">
        <v>209</v>
      </c>
      <c r="C22" s="51"/>
      <c r="D22" s="222"/>
      <c r="E22" s="222"/>
      <c r="F22" s="222"/>
      <c r="G22" s="223"/>
      <c r="H22" s="223"/>
      <c r="I22" s="184" t="s">
        <v>176</v>
      </c>
      <c r="J22" s="205">
        <f>D26+E26+F26+G26+H26+I26+J26+L26+K26+M26+N26+O26+P26</f>
        <v>1726300.84</v>
      </c>
      <c r="K22" s="223"/>
      <c r="L22" s="223"/>
      <c r="M22" s="223"/>
    </row>
    <row r="23" spans="2:16" x14ac:dyDescent="0.25">
      <c r="B23" s="51"/>
      <c r="C23" s="51"/>
      <c r="D23" s="222"/>
      <c r="E23" s="222"/>
      <c r="F23" s="222"/>
      <c r="G23" s="223"/>
      <c r="H23" s="223"/>
      <c r="I23" s="210" t="s">
        <v>129</v>
      </c>
      <c r="J23" s="225"/>
      <c r="K23" s="223"/>
      <c r="L23" s="223"/>
      <c r="M23" s="223"/>
    </row>
    <row r="24" spans="2:16" x14ac:dyDescent="0.25">
      <c r="B24" s="51"/>
      <c r="C24" s="51"/>
      <c r="D24" s="222"/>
      <c r="E24" s="222"/>
      <c r="F24" s="222"/>
      <c r="G24" s="223"/>
      <c r="H24" s="223"/>
      <c r="I24" s="223"/>
      <c r="J24" s="223"/>
      <c r="K24" s="223"/>
      <c r="L24" s="223"/>
      <c r="M24" s="223"/>
    </row>
    <row r="25" spans="2:16" ht="75" x14ac:dyDescent="0.25">
      <c r="B25" s="255" t="s">
        <v>62</v>
      </c>
      <c r="C25" s="68"/>
      <c r="D25" s="66" t="s">
        <v>11</v>
      </c>
      <c r="E25" s="66" t="s">
        <v>11</v>
      </c>
      <c r="F25" s="66" t="s">
        <v>12</v>
      </c>
      <c r="G25" s="66" t="s">
        <v>12</v>
      </c>
      <c r="H25" s="66" t="s">
        <v>13</v>
      </c>
      <c r="I25" s="66" t="s">
        <v>14</v>
      </c>
      <c r="J25" s="66" t="s">
        <v>15</v>
      </c>
      <c r="K25" s="67" t="s">
        <v>193</v>
      </c>
      <c r="L25" s="67" t="s">
        <v>190</v>
      </c>
      <c r="M25" s="66" t="s">
        <v>220</v>
      </c>
      <c r="N25" s="66" t="s">
        <v>233</v>
      </c>
      <c r="O25" s="256" t="s">
        <v>228</v>
      </c>
      <c r="P25" s="256"/>
    </row>
    <row r="26" spans="2:16" ht="29.25" customHeight="1" x14ac:dyDescent="0.25">
      <c r="B26" s="255"/>
      <c r="C26" s="68">
        <f>SUM(C27:C32)</f>
        <v>1726300.84</v>
      </c>
      <c r="D26" s="68">
        <f t="shared" ref="D26:M26" si="2">SUM(D27:D32)</f>
        <v>154162.32</v>
      </c>
      <c r="E26" s="68">
        <f t="shared" si="2"/>
        <v>163976.18</v>
      </c>
      <c r="F26" s="68">
        <f>SUM(F27:F32)</f>
        <v>198960.27</v>
      </c>
      <c r="G26" s="77">
        <f t="shared" si="2"/>
        <v>195803.85</v>
      </c>
      <c r="H26" s="77">
        <f t="shared" si="2"/>
        <v>127474.62000000001</v>
      </c>
      <c r="I26" s="77">
        <f t="shared" si="2"/>
        <v>116002.17000000001</v>
      </c>
      <c r="J26" s="70">
        <f t="shared" si="2"/>
        <v>117891.87</v>
      </c>
      <c r="K26" s="70">
        <f t="shared" si="2"/>
        <v>91148.26999999999</v>
      </c>
      <c r="L26" s="70">
        <f t="shared" si="2"/>
        <v>96920.08</v>
      </c>
      <c r="M26" s="70">
        <f t="shared" si="2"/>
        <v>88305.64</v>
      </c>
      <c r="N26" s="70">
        <f>SUM(N27:N32)</f>
        <v>120339.37</v>
      </c>
      <c r="O26" s="247">
        <f t="shared" ref="O26:P26" si="3">SUM(O27:O32)</f>
        <v>137353.81</v>
      </c>
      <c r="P26" s="247">
        <f t="shared" si="3"/>
        <v>117962.39</v>
      </c>
    </row>
    <row r="27" spans="2:16" x14ac:dyDescent="0.25">
      <c r="B27" s="58" t="s">
        <v>63</v>
      </c>
      <c r="C27" s="72">
        <f>SUM(D27:P27)</f>
        <v>767297.95000000007</v>
      </c>
      <c r="D27" s="73">
        <v>83512.19</v>
      </c>
      <c r="E27" s="73">
        <v>99615.83</v>
      </c>
      <c r="F27" s="73">
        <v>119938.69</v>
      </c>
      <c r="G27" s="75">
        <v>111925.89</v>
      </c>
      <c r="H27" s="75">
        <v>45396.88</v>
      </c>
      <c r="I27" s="75">
        <v>36629.93</v>
      </c>
      <c r="J27" s="75">
        <v>36988.36</v>
      </c>
      <c r="K27" s="75">
        <v>27827.84</v>
      </c>
      <c r="L27" s="75">
        <v>31171.75</v>
      </c>
      <c r="M27" s="75">
        <v>26282.77</v>
      </c>
      <c r="N27" s="75">
        <f>47484.62</f>
        <v>47484.62</v>
      </c>
      <c r="O27" s="75">
        <v>57722.78</v>
      </c>
      <c r="P27" s="75">
        <v>42800.42</v>
      </c>
    </row>
    <row r="28" spans="2:16" ht="30" x14ac:dyDescent="0.25">
      <c r="B28" s="71" t="s">
        <v>64</v>
      </c>
      <c r="C28" s="72">
        <f t="shared" ref="C28:C32" si="4">SUM(D28:P28)</f>
        <v>181546.06999999998</v>
      </c>
      <c r="D28" s="73">
        <f>22065.81+21909.73</f>
        <v>43975.54</v>
      </c>
      <c r="E28" s="73">
        <v>27001.84</v>
      </c>
      <c r="F28" s="73">
        <v>29557.65</v>
      </c>
      <c r="G28" s="75">
        <v>27471.08</v>
      </c>
      <c r="H28" s="75">
        <v>9583.2000000000007</v>
      </c>
      <c r="I28" s="75">
        <v>5395.39</v>
      </c>
      <c r="J28" s="75">
        <v>6013.28</v>
      </c>
      <c r="K28" s="75">
        <v>4000.36</v>
      </c>
      <c r="L28" s="75">
        <v>2749.08</v>
      </c>
      <c r="M28" s="75">
        <v>2372.19</v>
      </c>
      <c r="N28" s="75">
        <v>2527.38</v>
      </c>
      <c r="O28" s="75">
        <v>10989</v>
      </c>
      <c r="P28" s="75">
        <v>9910.08</v>
      </c>
    </row>
    <row r="29" spans="2:16" ht="30" x14ac:dyDescent="0.25">
      <c r="B29" s="71" t="s">
        <v>65</v>
      </c>
      <c r="C29" s="72">
        <f t="shared" si="4"/>
        <v>120093.43000000001</v>
      </c>
      <c r="D29" s="73">
        <v>7607.58</v>
      </c>
      <c r="E29" s="73">
        <v>11261.19</v>
      </c>
      <c r="F29" s="73">
        <v>10816.89</v>
      </c>
      <c r="G29" s="73">
        <v>9021.52</v>
      </c>
      <c r="H29" s="73">
        <v>11508.88</v>
      </c>
      <c r="I29" s="73">
        <v>9818.3700000000008</v>
      </c>
      <c r="J29" s="78">
        <v>7792.99</v>
      </c>
      <c r="K29" s="78">
        <v>8025.33</v>
      </c>
      <c r="L29" s="78">
        <v>9111.66</v>
      </c>
      <c r="M29" s="78">
        <v>8137.13</v>
      </c>
      <c r="N29" s="78">
        <v>10046.25</v>
      </c>
      <c r="O29" s="78">
        <v>9090.33</v>
      </c>
      <c r="P29" s="78">
        <v>7855.31</v>
      </c>
    </row>
    <row r="30" spans="2:16" x14ac:dyDescent="0.25">
      <c r="B30" s="58" t="s">
        <v>66</v>
      </c>
      <c r="C30" s="72">
        <f t="shared" si="4"/>
        <v>608372.38</v>
      </c>
      <c r="D30" s="73">
        <f>17721.8+133.4+412.52</f>
        <v>18267.72</v>
      </c>
      <c r="E30" s="73">
        <v>24265.54</v>
      </c>
      <c r="F30" s="73">
        <v>34998.9</v>
      </c>
      <c r="G30" s="75">
        <v>43104.19</v>
      </c>
      <c r="H30" s="75">
        <v>56098.39</v>
      </c>
      <c r="I30" s="75">
        <v>60086.5</v>
      </c>
      <c r="J30" s="75">
        <v>62807.44</v>
      </c>
      <c r="K30" s="75">
        <v>47982.59</v>
      </c>
      <c r="L30" s="75">
        <v>50769.17</v>
      </c>
      <c r="M30" s="75">
        <v>48757.33</v>
      </c>
      <c r="N30" s="75">
        <v>55472.43</v>
      </c>
      <c r="O30" s="75">
        <v>53780.78</v>
      </c>
      <c r="P30" s="75">
        <v>51981.4</v>
      </c>
    </row>
    <row r="31" spans="2:16" ht="15" customHeight="1" x14ac:dyDescent="0.25">
      <c r="B31" s="58" t="s">
        <v>67</v>
      </c>
      <c r="C31" s="72">
        <f t="shared" si="4"/>
        <v>45000.210000000006</v>
      </c>
      <c r="D31" s="73">
        <v>799.29</v>
      </c>
      <c r="E31" s="73">
        <f>1729.38+102.4</f>
        <v>1831.7800000000002</v>
      </c>
      <c r="F31" s="73">
        <v>3648.14</v>
      </c>
      <c r="G31" s="75">
        <v>4281.17</v>
      </c>
      <c r="H31" s="75">
        <v>4887.2700000000004</v>
      </c>
      <c r="I31" s="75">
        <v>3944.6</v>
      </c>
      <c r="J31" s="75">
        <v>3805.04</v>
      </c>
      <c r="K31" s="75">
        <v>2991.26</v>
      </c>
      <c r="L31" s="75">
        <v>2718.73</v>
      </c>
      <c r="M31" s="75">
        <v>2300.15</v>
      </c>
      <c r="N31" s="75">
        <v>4205.3100000000004</v>
      </c>
      <c r="O31" s="75">
        <v>4945.37</v>
      </c>
      <c r="P31" s="75">
        <v>4642.1000000000004</v>
      </c>
    </row>
    <row r="32" spans="2:16" ht="30" x14ac:dyDescent="0.25">
      <c r="B32" s="76" t="s">
        <v>68</v>
      </c>
      <c r="C32" s="72">
        <f t="shared" si="4"/>
        <v>3990.8</v>
      </c>
      <c r="D32" s="73"/>
      <c r="E32" s="73"/>
      <c r="F32" s="73"/>
      <c r="G32" s="75"/>
      <c r="H32" s="75"/>
      <c r="I32" s="75">
        <v>127.38</v>
      </c>
      <c r="J32" s="75">
        <v>484.76</v>
      </c>
      <c r="K32" s="75">
        <v>320.89</v>
      </c>
      <c r="L32" s="75">
        <v>399.69</v>
      </c>
      <c r="M32" s="75">
        <v>456.07</v>
      </c>
      <c r="N32" s="75">
        <v>603.38</v>
      </c>
      <c r="O32" s="75">
        <v>825.55</v>
      </c>
      <c r="P32" s="75">
        <v>773.08</v>
      </c>
    </row>
    <row r="33" spans="2:12" s="5" customFormat="1" ht="28.5" hidden="1" x14ac:dyDescent="0.25">
      <c r="B33" s="79" t="s">
        <v>69</v>
      </c>
      <c r="C33" s="72">
        <f t="shared" ref="C33" si="5">D33+E33+F33+G33+H33+I33+J33+K33</f>
        <v>0</v>
      </c>
      <c r="D33" s="80"/>
      <c r="E33" s="80"/>
      <c r="F33" s="80"/>
      <c r="G33" s="81"/>
      <c r="H33" s="81"/>
      <c r="I33" s="81"/>
      <c r="J33" s="81"/>
      <c r="K33" s="81"/>
      <c r="L33" s="70"/>
    </row>
  </sheetData>
  <mergeCells count="4">
    <mergeCell ref="B3:G3"/>
    <mergeCell ref="B5:B6"/>
    <mergeCell ref="B25:B26"/>
    <mergeCell ref="O25:P25"/>
  </mergeCells>
  <phoneticPr fontId="14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20B0-2F53-42EB-99EF-0EBCCAD06D99}">
  <dimension ref="B1:O12"/>
  <sheetViews>
    <sheetView zoomScale="80" zoomScaleNormal="80" workbookViewId="0">
      <selection activeCell="C19" sqref="C19"/>
    </sheetView>
  </sheetViews>
  <sheetFormatPr defaultColWidth="9.42578125" defaultRowHeight="15" x14ac:dyDescent="0.25"/>
  <cols>
    <col min="1" max="1" width="4.42578125" style="4" customWidth="1"/>
    <col min="2" max="2" width="63" style="4" customWidth="1"/>
    <col min="3" max="3" width="16.5703125" style="4" customWidth="1"/>
    <col min="4" max="4" width="15.7109375" style="4" customWidth="1"/>
    <col min="5" max="5" width="16.140625" style="4" customWidth="1"/>
    <col min="6" max="6" width="16" style="127" customWidth="1"/>
    <col min="7" max="7" width="16.140625" style="4" customWidth="1"/>
    <col min="8" max="8" width="15.28515625" style="4" customWidth="1"/>
    <col min="9" max="9" width="15.5703125" style="128" customWidth="1"/>
    <col min="10" max="10" width="15.28515625" style="128" customWidth="1"/>
    <col min="11" max="11" width="17" style="128" customWidth="1"/>
    <col min="12" max="13" width="16.140625" style="4" customWidth="1"/>
    <col min="14" max="14" width="17.28515625" style="4" customWidth="1"/>
    <col min="15" max="15" width="17.42578125" style="4" customWidth="1"/>
    <col min="16" max="16384" width="9.42578125" style="4"/>
  </cols>
  <sheetData>
    <row r="1" spans="2:15" x14ac:dyDescent="0.25">
      <c r="B1" s="31" t="s">
        <v>224</v>
      </c>
      <c r="F1" s="184" t="s">
        <v>176</v>
      </c>
      <c r="G1" s="205">
        <f>D7+E7+F7+G7+H7+I7+J7+K7+L7+M7</f>
        <v>16223298.629999999</v>
      </c>
    </row>
    <row r="2" spans="2:15" x14ac:dyDescent="0.25">
      <c r="B2" s="126"/>
      <c r="F2" s="184" t="s">
        <v>178</v>
      </c>
      <c r="G2" s="205">
        <f>N7</f>
        <v>3714801.15</v>
      </c>
    </row>
    <row r="3" spans="2:15" s="129" customFormat="1" ht="15.75" x14ac:dyDescent="0.25">
      <c r="B3" s="133" t="s">
        <v>70</v>
      </c>
      <c r="C3" s="133"/>
      <c r="D3" s="133"/>
      <c r="E3" s="133"/>
      <c r="F3" s="133"/>
      <c r="G3" s="133"/>
      <c r="I3" s="130"/>
      <c r="J3" s="130"/>
      <c r="K3" s="130"/>
    </row>
    <row r="4" spans="2:15" s="129" customFormat="1" ht="19.5" customHeight="1" x14ac:dyDescent="0.25">
      <c r="B4" s="260"/>
      <c r="C4" s="257" t="s">
        <v>1</v>
      </c>
      <c r="D4" s="182" t="s">
        <v>71</v>
      </c>
      <c r="E4" s="263" t="s">
        <v>72</v>
      </c>
      <c r="F4" s="263"/>
      <c r="G4" s="263"/>
      <c r="H4" s="263"/>
      <c r="I4" s="263"/>
      <c r="J4" s="263"/>
      <c r="K4" s="263"/>
      <c r="L4" s="263"/>
      <c r="M4" s="263"/>
      <c r="N4" s="263"/>
    </row>
    <row r="5" spans="2:15" ht="19.5" customHeight="1" x14ac:dyDescent="0.25">
      <c r="B5" s="261"/>
      <c r="C5" s="258"/>
      <c r="D5" s="137" t="s">
        <v>3</v>
      </c>
      <c r="E5" s="137" t="s">
        <v>4</v>
      </c>
      <c r="F5" s="137" t="s">
        <v>73</v>
      </c>
      <c r="G5" s="137" t="s">
        <v>74</v>
      </c>
      <c r="H5" s="137" t="s">
        <v>7</v>
      </c>
      <c r="I5" s="228" t="s">
        <v>8</v>
      </c>
      <c r="J5" s="228" t="s">
        <v>9</v>
      </c>
      <c r="K5" s="229" t="s">
        <v>10</v>
      </c>
      <c r="L5" s="229" t="s">
        <v>86</v>
      </c>
      <c r="M5" s="238" t="s">
        <v>173</v>
      </c>
      <c r="N5" s="25" t="s">
        <v>205</v>
      </c>
    </row>
    <row r="6" spans="2:15" ht="79.5" customHeight="1" x14ac:dyDescent="0.25">
      <c r="B6" s="262"/>
      <c r="C6" s="259"/>
      <c r="D6" s="135" t="s">
        <v>75</v>
      </c>
      <c r="E6" s="135" t="s">
        <v>76</v>
      </c>
      <c r="F6" s="135" t="s">
        <v>76</v>
      </c>
      <c r="G6" s="135" t="s">
        <v>77</v>
      </c>
      <c r="H6" s="135" t="s">
        <v>78</v>
      </c>
      <c r="I6" s="135" t="s">
        <v>79</v>
      </c>
      <c r="J6" s="135" t="s">
        <v>79</v>
      </c>
      <c r="K6" s="135" t="s">
        <v>201</v>
      </c>
      <c r="L6" s="135" t="s">
        <v>202</v>
      </c>
      <c r="M6" s="239" t="s">
        <v>225</v>
      </c>
      <c r="N6" s="67" t="s">
        <v>226</v>
      </c>
    </row>
    <row r="7" spans="2:15" ht="21.75" customHeight="1" x14ac:dyDescent="0.25">
      <c r="B7" s="134" t="s">
        <v>80</v>
      </c>
      <c r="C7" s="134">
        <f>SUM(C8:C12)</f>
        <v>19938099.779999997</v>
      </c>
      <c r="D7" s="136">
        <f>SUM(D8:D12)</f>
        <v>10523.94</v>
      </c>
      <c r="E7" s="136">
        <f t="shared" ref="E7:N7" si="0">SUM(E8:E12)</f>
        <v>134000.35999999999</v>
      </c>
      <c r="F7" s="136">
        <f t="shared" si="0"/>
        <v>338499.38999999996</v>
      </c>
      <c r="G7" s="136">
        <f t="shared" si="0"/>
        <v>748684.79999999993</v>
      </c>
      <c r="H7" s="136">
        <f t="shared" si="0"/>
        <v>1725498.1799999988</v>
      </c>
      <c r="I7" s="136">
        <f t="shared" si="0"/>
        <v>4191476.76</v>
      </c>
      <c r="J7" s="136">
        <f t="shared" si="0"/>
        <v>3248312.47</v>
      </c>
      <c r="K7" s="136">
        <f t="shared" si="0"/>
        <v>2005882.35</v>
      </c>
      <c r="L7" s="136">
        <f t="shared" si="0"/>
        <v>1511139.2200000002</v>
      </c>
      <c r="M7" s="240">
        <f t="shared" si="0"/>
        <v>2309281.1599999992</v>
      </c>
      <c r="N7" s="242">
        <f t="shared" si="0"/>
        <v>3714801.15</v>
      </c>
    </row>
    <row r="8" spans="2:15" s="128" customFormat="1" ht="32.25" customHeight="1" x14ac:dyDescent="0.25">
      <c r="B8" s="131" t="s">
        <v>81</v>
      </c>
      <c r="C8" s="38">
        <f>SUM(D8:N8)</f>
        <v>12579416.77</v>
      </c>
      <c r="D8" s="47">
        <f>10523.94-114.3</f>
        <v>10409.640000000001</v>
      </c>
      <c r="E8" s="47">
        <f>134000.36-57.15</f>
        <v>133943.21</v>
      </c>
      <c r="F8" s="47">
        <v>235991.55999999991</v>
      </c>
      <c r="G8" s="47">
        <v>223354.86000000002</v>
      </c>
      <c r="H8" s="47">
        <f>845637.47-114.3</f>
        <v>845523.16999999993</v>
      </c>
      <c r="I8" s="47">
        <v>2551679.1299999994</v>
      </c>
      <c r="J8" s="47">
        <f>2124447.98-114.3</f>
        <v>2124333.6800000002</v>
      </c>
      <c r="K8" s="47">
        <f>1499441.04-57.15</f>
        <v>1499383.8900000001</v>
      </c>
      <c r="L8" s="165">
        <f>1135791.61-57.15</f>
        <v>1135734.4600000002</v>
      </c>
      <c r="M8" s="241">
        <v>1618920.5499999996</v>
      </c>
      <c r="N8" s="165">
        <f>2200256.92-114.3</f>
        <v>2200142.62</v>
      </c>
      <c r="O8" s="4"/>
    </row>
    <row r="9" spans="2:15" s="128" customFormat="1" ht="21.75" customHeight="1" x14ac:dyDescent="0.25">
      <c r="B9" s="131" t="s">
        <v>218</v>
      </c>
      <c r="C9" s="38">
        <f t="shared" ref="C9:C12" si="1">SUM(D9:N9)</f>
        <v>628.65</v>
      </c>
      <c r="D9" s="47">
        <v>114.3</v>
      </c>
      <c r="E9" s="47">
        <v>57.15</v>
      </c>
      <c r="F9" s="47"/>
      <c r="G9" s="47"/>
      <c r="H9" s="47">
        <v>114.3</v>
      </c>
      <c r="I9" s="47"/>
      <c r="J9" s="47">
        <v>114.3</v>
      </c>
      <c r="K9" s="47">
        <v>57.15</v>
      </c>
      <c r="L9" s="235">
        <v>57.15</v>
      </c>
      <c r="M9" s="235"/>
      <c r="N9" s="165">
        <v>114.3</v>
      </c>
      <c r="O9" s="4"/>
    </row>
    <row r="10" spans="2:15" s="128" customFormat="1" ht="31.5" customHeight="1" x14ac:dyDescent="0.25">
      <c r="B10" s="131" t="s">
        <v>82</v>
      </c>
      <c r="C10" s="38">
        <f t="shared" si="1"/>
        <v>7347710.2799999984</v>
      </c>
      <c r="D10" s="48"/>
      <c r="E10" s="48"/>
      <c r="F10" s="49">
        <f>102507.83-57.15</f>
        <v>102450.68000000001</v>
      </c>
      <c r="G10" s="49">
        <f>525329.94-114.3</f>
        <v>525215.6399999999</v>
      </c>
      <c r="H10" s="49">
        <v>878277.25999999885</v>
      </c>
      <c r="I10" s="49">
        <f>1637328.79-171.45</f>
        <v>1637157.34</v>
      </c>
      <c r="J10" s="49">
        <f>1123278.58-343.75</f>
        <v>1122934.83</v>
      </c>
      <c r="K10" s="49">
        <f>505987.01-114.3</f>
        <v>505872.71</v>
      </c>
      <c r="L10" s="165">
        <f>374831.82-114.3</f>
        <v>374717.52</v>
      </c>
      <c r="M10" s="235">
        <v>689184.39</v>
      </c>
      <c r="N10" s="165">
        <f>1513442.96-1543.05</f>
        <v>1511899.91</v>
      </c>
      <c r="O10" s="4"/>
    </row>
    <row r="11" spans="2:15" s="132" customFormat="1" ht="22.5" customHeight="1" x14ac:dyDescent="0.25">
      <c r="B11" s="131" t="s">
        <v>219</v>
      </c>
      <c r="C11" s="38">
        <f t="shared" si="1"/>
        <v>2515.4499999999998</v>
      </c>
      <c r="D11" s="48"/>
      <c r="E11" s="48"/>
      <c r="F11" s="49">
        <v>57.15</v>
      </c>
      <c r="G11" s="49">
        <v>114.3</v>
      </c>
      <c r="H11" s="49"/>
      <c r="I11" s="49">
        <v>171.45</v>
      </c>
      <c r="J11" s="49">
        <v>343.75</v>
      </c>
      <c r="K11" s="49">
        <v>114.3</v>
      </c>
      <c r="L11" s="235">
        <v>114.3</v>
      </c>
      <c r="M11" s="235">
        <v>57.15</v>
      </c>
      <c r="N11" s="168">
        <v>1543.0500000000002</v>
      </c>
    </row>
    <row r="12" spans="2:15" ht="30" x14ac:dyDescent="0.25">
      <c r="B12" s="131" t="s">
        <v>83</v>
      </c>
      <c r="C12" s="38">
        <f t="shared" si="1"/>
        <v>7828.6299999999992</v>
      </c>
      <c r="D12" s="48"/>
      <c r="E12" s="48"/>
      <c r="F12" s="49"/>
      <c r="G12" s="49"/>
      <c r="H12" s="49">
        <v>1583.45</v>
      </c>
      <c r="I12" s="49">
        <v>2468.84</v>
      </c>
      <c r="J12" s="49">
        <v>585.91</v>
      </c>
      <c r="K12" s="49">
        <v>454.3</v>
      </c>
      <c r="L12" s="165">
        <v>515.79</v>
      </c>
      <c r="M12" s="235">
        <v>1119.0699999999997</v>
      </c>
      <c r="N12" s="146">
        <v>1101.27</v>
      </c>
    </row>
  </sheetData>
  <mergeCells count="3">
    <mergeCell ref="C4:C6"/>
    <mergeCell ref="B4:B6"/>
    <mergeCell ref="E4:N4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9F20-E398-4C2E-B870-27C2E4354714}">
  <dimension ref="B1:S15"/>
  <sheetViews>
    <sheetView topLeftCell="B1" zoomScale="90" zoomScaleNormal="90" workbookViewId="0">
      <pane xSplit="1" ySplit="5" topLeftCell="C6" activePane="bottomRight" state="frozen"/>
      <selection activeCell="C30" sqref="C30"/>
      <selection pane="topRight" activeCell="C30" sqref="C30"/>
      <selection pane="bottomLeft" activeCell="C30" sqref="C30"/>
      <selection pane="bottomRight" activeCell="L24" sqref="L24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" customWidth="1"/>
    <col min="4" max="4" width="16.140625" style="4" customWidth="1"/>
    <col min="5" max="5" width="10.140625" style="3" hidden="1" customWidth="1"/>
    <col min="6" max="6" width="15.5703125" style="2" customWidth="1"/>
    <col min="7" max="7" width="9.42578125" style="1" hidden="1" customWidth="1"/>
    <col min="8" max="8" width="17" style="1" customWidth="1"/>
    <col min="9" max="9" width="9.85546875" style="1" hidden="1" customWidth="1"/>
    <col min="10" max="10" width="15.85546875" style="1" customWidth="1"/>
    <col min="11" max="11" width="7.7109375" style="1" hidden="1" customWidth="1"/>
    <col min="12" max="12" width="17.7109375" style="29" customWidth="1"/>
    <col min="13" max="13" width="7.7109375" style="1" hidden="1" customWidth="1"/>
    <col min="14" max="14" width="16.42578125" style="29" customWidth="1"/>
    <col min="15" max="15" width="17.42578125" style="1" customWidth="1"/>
    <col min="16" max="19" width="17.28515625" style="1" customWidth="1"/>
    <col min="20" max="20" width="13.42578125" style="1" customWidth="1"/>
    <col min="21" max="16384" width="9.42578125" style="1"/>
  </cols>
  <sheetData>
    <row r="1" spans="2:19" x14ac:dyDescent="0.25">
      <c r="B1" s="31" t="s">
        <v>234</v>
      </c>
      <c r="H1" s="184" t="s">
        <v>176</v>
      </c>
      <c r="I1" s="185"/>
      <c r="J1" s="205">
        <f>D6+F6+H6+J6+L6+N6+O6+P6+Q6+R6</f>
        <v>98423750.590000018</v>
      </c>
    </row>
    <row r="2" spans="2:19" x14ac:dyDescent="0.25">
      <c r="B2" s="31"/>
      <c r="H2" s="184" t="s">
        <v>178</v>
      </c>
      <c r="I2" s="185"/>
      <c r="J2" s="205"/>
    </row>
    <row r="3" spans="2:19" s="22" customFormat="1" ht="15.75" x14ac:dyDescent="0.25">
      <c r="B3" s="264" t="s">
        <v>84</v>
      </c>
      <c r="C3" s="264"/>
      <c r="D3" s="264"/>
      <c r="E3" s="264"/>
      <c r="F3" s="264"/>
      <c r="H3" s="210" t="s">
        <v>129</v>
      </c>
      <c r="I3" s="186"/>
      <c r="J3" s="205">
        <f>S7</f>
        <v>6176237.4800000004</v>
      </c>
      <c r="L3" s="23"/>
      <c r="N3" s="23"/>
    </row>
    <row r="4" spans="2:19" x14ac:dyDescent="0.25">
      <c r="B4" s="15"/>
      <c r="C4" s="24" t="s">
        <v>85</v>
      </c>
      <c r="D4" s="25" t="s">
        <v>4</v>
      </c>
      <c r="E4" s="26"/>
      <c r="F4" s="27" t="s">
        <v>5</v>
      </c>
      <c r="G4" s="26"/>
      <c r="H4" s="265" t="s">
        <v>6</v>
      </c>
      <c r="I4" s="265"/>
      <c r="J4" s="27" t="s">
        <v>7</v>
      </c>
      <c r="K4" s="15"/>
      <c r="L4" s="28" t="s">
        <v>8</v>
      </c>
      <c r="M4" s="15"/>
      <c r="N4" s="28" t="s">
        <v>9</v>
      </c>
      <c r="O4" s="28" t="s">
        <v>10</v>
      </c>
      <c r="P4" s="28" t="s">
        <v>86</v>
      </c>
      <c r="Q4" s="28" t="s">
        <v>173</v>
      </c>
      <c r="R4" s="28" t="s">
        <v>205</v>
      </c>
      <c r="S4" s="28" t="s">
        <v>205</v>
      </c>
    </row>
    <row r="5" spans="2:19" ht="77.25" customHeight="1" x14ac:dyDescent="0.25">
      <c r="B5" s="6" t="s">
        <v>87</v>
      </c>
      <c r="C5" s="20" t="s">
        <v>88</v>
      </c>
      <c r="D5" s="7" t="s">
        <v>89</v>
      </c>
      <c r="E5" s="8" t="s">
        <v>90</v>
      </c>
      <c r="F5" s="7" t="s">
        <v>91</v>
      </c>
      <c r="G5" s="8" t="s">
        <v>90</v>
      </c>
      <c r="H5" s="7" t="s">
        <v>92</v>
      </c>
      <c r="I5" s="8" t="s">
        <v>90</v>
      </c>
      <c r="J5" s="7" t="s">
        <v>93</v>
      </c>
      <c r="K5" s="8" t="s">
        <v>90</v>
      </c>
      <c r="L5" s="7" t="s">
        <v>93</v>
      </c>
      <c r="M5" s="34" t="s">
        <v>90</v>
      </c>
      <c r="N5" s="7" t="s">
        <v>191</v>
      </c>
      <c r="O5" s="7" t="s">
        <v>203</v>
      </c>
      <c r="P5" s="7" t="s">
        <v>214</v>
      </c>
      <c r="Q5" s="7" t="s">
        <v>235</v>
      </c>
      <c r="R5" s="7" t="s">
        <v>236</v>
      </c>
      <c r="S5" s="221" t="s">
        <v>217</v>
      </c>
    </row>
    <row r="6" spans="2:19" x14ac:dyDescent="0.25">
      <c r="B6" s="10" t="s">
        <v>94</v>
      </c>
      <c r="C6" s="82">
        <f>SUM(C7:C11)</f>
        <v>104599988.06999999</v>
      </c>
      <c r="D6" s="82">
        <f t="shared" ref="D6:Q6" si="0">SUM(D7:D11)</f>
        <v>14301348</v>
      </c>
      <c r="E6" s="82">
        <f t="shared" si="0"/>
        <v>0</v>
      </c>
      <c r="F6" s="82">
        <f t="shared" si="0"/>
        <v>13769892</v>
      </c>
      <c r="G6" s="82">
        <f t="shared" si="0"/>
        <v>0</v>
      </c>
      <c r="H6" s="82">
        <f t="shared" si="0"/>
        <v>13791996</v>
      </c>
      <c r="I6" s="82">
        <f t="shared" si="0"/>
        <v>0</v>
      </c>
      <c r="J6" s="82">
        <f t="shared" si="0"/>
        <v>13563626</v>
      </c>
      <c r="K6" s="82">
        <f t="shared" si="0"/>
        <v>0</v>
      </c>
      <c r="L6" s="82">
        <f t="shared" si="0"/>
        <v>13111427.119999999</v>
      </c>
      <c r="M6" s="82">
        <f t="shared" si="0"/>
        <v>0</v>
      </c>
      <c r="N6" s="82">
        <f t="shared" si="0"/>
        <v>12010731.66</v>
      </c>
      <c r="O6" s="82">
        <f t="shared" si="0"/>
        <v>3690745.15</v>
      </c>
      <c r="P6" s="82">
        <f>SUM(P7:P11)</f>
        <v>3417212.65</v>
      </c>
      <c r="Q6" s="82">
        <f t="shared" si="0"/>
        <v>4376379</v>
      </c>
      <c r="R6" s="82">
        <f t="shared" ref="R6:S6" si="1">SUM(R7:R11)</f>
        <v>6390393.0100000026</v>
      </c>
      <c r="S6" s="82">
        <f t="shared" si="1"/>
        <v>6176237.4800000004</v>
      </c>
    </row>
    <row r="7" spans="2:19" x14ac:dyDescent="0.25">
      <c r="B7" s="18" t="s">
        <v>95</v>
      </c>
      <c r="C7" s="21">
        <f>D7+F7+H7+J7+L7+N7+O7+P7+Q7+S7+R7</f>
        <v>49847806.480000004</v>
      </c>
      <c r="D7" s="16">
        <f>7110011</f>
        <v>7110011</v>
      </c>
      <c r="E7" s="16"/>
      <c r="F7" s="26">
        <f>6622349</f>
        <v>6622349</v>
      </c>
      <c r="G7" s="26"/>
      <c r="H7" s="26">
        <f>6533947</f>
        <v>6533947</v>
      </c>
      <c r="I7" s="26"/>
      <c r="J7" s="26">
        <f>108235+6259169</f>
        <v>6367404</v>
      </c>
      <c r="K7" s="26"/>
      <c r="L7" s="83">
        <v>5942051</v>
      </c>
      <c r="M7" s="26"/>
      <c r="N7" s="83">
        <v>5028088</v>
      </c>
      <c r="O7" s="230">
        <v>1924994</v>
      </c>
      <c r="P7" s="83">
        <v>1671467</v>
      </c>
      <c r="Q7" s="230">
        <f>2471258</f>
        <v>2471258</v>
      </c>
      <c r="R7" s="83"/>
      <c r="S7" s="83">
        <f>6090429.48+85808</f>
        <v>6176237.4800000004</v>
      </c>
    </row>
    <row r="8" spans="2:19" x14ac:dyDescent="0.25">
      <c r="B8" s="18" t="s">
        <v>96</v>
      </c>
      <c r="C8" s="21">
        <f t="shared" ref="C8:C11" si="2">D8+F8+H8+J8+L8+N8+O8+P8+Q8+S8+R8</f>
        <v>2510462.29</v>
      </c>
      <c r="D8" s="16">
        <v>302042</v>
      </c>
      <c r="E8" s="16"/>
      <c r="F8" s="26">
        <v>293306</v>
      </c>
      <c r="G8" s="26"/>
      <c r="H8" s="26">
        <v>337784</v>
      </c>
      <c r="I8" s="26"/>
      <c r="J8" s="26">
        <f>316767</f>
        <v>316767</v>
      </c>
      <c r="K8" s="26"/>
      <c r="L8" s="84">
        <v>315090</v>
      </c>
      <c r="M8" s="26"/>
      <c r="N8" s="83">
        <v>313929.34000000003</v>
      </c>
      <c r="O8" s="230">
        <v>150188.15</v>
      </c>
      <c r="P8" s="83">
        <v>151192.65</v>
      </c>
      <c r="Q8" s="230">
        <v>163840</v>
      </c>
      <c r="R8" s="83">
        <v>166323.15</v>
      </c>
      <c r="S8" s="230"/>
    </row>
    <row r="9" spans="2:19" x14ac:dyDescent="0.25">
      <c r="B9" s="18" t="s">
        <v>97</v>
      </c>
      <c r="C9" s="21">
        <f t="shared" si="2"/>
        <v>44762878.640000001</v>
      </c>
      <c r="D9" s="16">
        <f>5795100</f>
        <v>5795100</v>
      </c>
      <c r="E9" s="16"/>
      <c r="F9" s="26">
        <f>5804353</f>
        <v>5804353</v>
      </c>
      <c r="G9" s="26"/>
      <c r="H9" s="26">
        <f>5873916</f>
        <v>5873916</v>
      </c>
      <c r="I9" s="26"/>
      <c r="J9" s="26">
        <v>5847393</v>
      </c>
      <c r="K9" s="26"/>
      <c r="L9" s="84">
        <v>5859348</v>
      </c>
      <c r="M9" s="26"/>
      <c r="N9" s="83">
        <v>5762383</v>
      </c>
      <c r="O9" s="230">
        <v>1342913</v>
      </c>
      <c r="P9" s="83">
        <f>1337155+3587</f>
        <v>1340742</v>
      </c>
      <c r="Q9" s="230">
        <v>1412420</v>
      </c>
      <c r="R9" s="83">
        <v>5724310.6400000025</v>
      </c>
      <c r="S9" s="230"/>
    </row>
    <row r="10" spans="2:19" x14ac:dyDescent="0.25">
      <c r="B10" s="18" t="s">
        <v>98</v>
      </c>
      <c r="C10" s="21">
        <f t="shared" si="2"/>
        <v>80187.66</v>
      </c>
      <c r="D10" s="16">
        <v>14597</v>
      </c>
      <c r="E10" s="16"/>
      <c r="F10" s="26">
        <v>9709</v>
      </c>
      <c r="G10" s="26"/>
      <c r="H10" s="26">
        <v>7244</v>
      </c>
      <c r="I10" s="26"/>
      <c r="J10" s="26">
        <f>8165</f>
        <v>8165</v>
      </c>
      <c r="K10" s="26"/>
      <c r="L10" s="84">
        <v>7826.12</v>
      </c>
      <c r="M10" s="26"/>
      <c r="N10" s="83">
        <v>2816.3199999999997</v>
      </c>
      <c r="O10" s="230">
        <v>433</v>
      </c>
      <c r="P10" s="83">
        <f>840+285</f>
        <v>1125</v>
      </c>
      <c r="Q10" s="230">
        <v>5349</v>
      </c>
      <c r="R10" s="83">
        <v>22923.22</v>
      </c>
      <c r="S10" s="230"/>
    </row>
    <row r="11" spans="2:19" x14ac:dyDescent="0.25">
      <c r="B11" s="18" t="s">
        <v>192</v>
      </c>
      <c r="C11" s="21">
        <f t="shared" si="2"/>
        <v>7398653</v>
      </c>
      <c r="D11" s="16">
        <v>1079598</v>
      </c>
      <c r="E11" s="16"/>
      <c r="F11" s="26">
        <v>1040175</v>
      </c>
      <c r="G11" s="26"/>
      <c r="H11" s="26">
        <v>1039105</v>
      </c>
      <c r="I11" s="26"/>
      <c r="J11" s="26">
        <v>1023897</v>
      </c>
      <c r="K11" s="26"/>
      <c r="L11" s="84">
        <v>987112</v>
      </c>
      <c r="M11" s="26"/>
      <c r="N11" s="83">
        <v>903515</v>
      </c>
      <c r="O11" s="83">
        <f>160352+111865</f>
        <v>272217</v>
      </c>
      <c r="P11" s="83">
        <f>252519+167</f>
        <v>252686</v>
      </c>
      <c r="Q11" s="230">
        <f>205856+117656</f>
        <v>323512</v>
      </c>
      <c r="R11" s="83">
        <v>476836</v>
      </c>
      <c r="S11" s="83"/>
    </row>
    <row r="12" spans="2:19" ht="38.25" customHeight="1" x14ac:dyDescent="0.25">
      <c r="B12" s="2"/>
      <c r="C12" s="2"/>
      <c r="D12" s="3"/>
      <c r="F12" s="99"/>
      <c r="G12" s="99"/>
      <c r="H12" s="99"/>
      <c r="I12" s="99"/>
      <c r="J12" s="99"/>
      <c r="K12" s="99"/>
      <c r="L12" s="175"/>
      <c r="M12" s="175"/>
      <c r="N12" s="175"/>
      <c r="O12" s="175"/>
      <c r="P12" s="175"/>
      <c r="Q12" s="3"/>
      <c r="R12" s="3"/>
    </row>
    <row r="13" spans="2:19" ht="30" hidden="1" x14ac:dyDescent="0.25">
      <c r="B13" s="30" t="s">
        <v>223</v>
      </c>
      <c r="F13" s="85"/>
      <c r="G13" s="85"/>
      <c r="H13" s="85"/>
      <c r="I13" s="85"/>
      <c r="J13" s="85"/>
      <c r="K13" s="85"/>
      <c r="L13" s="86"/>
      <c r="M13" s="85"/>
      <c r="N13" s="86"/>
      <c r="O13" s="85"/>
      <c r="P13" s="85"/>
    </row>
    <row r="14" spans="2:19" x14ac:dyDescent="0.25">
      <c r="B14" s="237" t="s">
        <v>179</v>
      </c>
    </row>
    <row r="15" spans="2:19" x14ac:dyDescent="0.25">
      <c r="B15" s="1" t="s">
        <v>237</v>
      </c>
    </row>
  </sheetData>
  <mergeCells count="2">
    <mergeCell ref="B3:F3"/>
    <mergeCell ref="H4:I4"/>
  </mergeCells>
  <phoneticPr fontId="14" type="noConversion"/>
  <pageMargins left="0.11811023622047245" right="0.11811023622047245" top="0.15748031496062992" bottom="0.35433070866141736" header="0.31496062992125984" footer="0.31496062992125984"/>
  <pageSetup paperSize="9" scale="70" fitToHeight="0" orientation="landscape" r:id="rId1"/>
  <headerFoot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FB41-906B-4CA7-AC42-6E01E0D18BD9}">
  <sheetPr>
    <pageSetUpPr fitToPage="1"/>
  </sheetPr>
  <dimension ref="B1:Q8"/>
  <sheetViews>
    <sheetView topLeftCell="B1" zoomScale="90" zoomScaleNormal="90" workbookViewId="0">
      <pane xSplit="1" ySplit="4" topLeftCell="C5" activePane="bottomRight" state="frozen"/>
      <selection activeCell="C30" sqref="C30"/>
      <selection pane="topRight" activeCell="C30" sqref="C30"/>
      <selection pane="bottomLeft" activeCell="C30" sqref="C30"/>
      <selection pane="bottomRight" activeCell="B2" sqref="B2:E2"/>
    </sheetView>
  </sheetViews>
  <sheetFormatPr defaultColWidth="9.42578125" defaultRowHeight="15" x14ac:dyDescent="0.25"/>
  <cols>
    <col min="1" max="1" width="4.42578125" style="1" customWidth="1"/>
    <col min="2" max="2" width="28.5703125" style="1" customWidth="1"/>
    <col min="3" max="3" width="15.85546875" style="1" customWidth="1"/>
    <col min="4" max="4" width="16.140625" style="4" customWidth="1"/>
    <col min="5" max="5" width="15.5703125" style="2" customWidth="1"/>
    <col min="6" max="6" width="17" style="1" hidden="1" customWidth="1"/>
    <col min="7" max="7" width="20.5703125" style="1" customWidth="1"/>
    <col min="8" max="8" width="14.28515625" style="1" customWidth="1"/>
    <col min="9" max="9" width="14.28515625" style="1" hidden="1" customWidth="1"/>
    <col min="10" max="10" width="14.28515625" style="29" customWidth="1"/>
    <col min="11" max="11" width="14.28515625" style="1" hidden="1" customWidth="1"/>
    <col min="12" max="12" width="14.28515625" style="29" customWidth="1"/>
    <col min="13" max="16" width="19.42578125" style="1" customWidth="1"/>
    <col min="17" max="17" width="12.7109375" style="1" customWidth="1"/>
    <col min="18" max="18" width="11.7109375" style="1" bestFit="1" customWidth="1"/>
    <col min="19" max="19" width="12.42578125" style="1" bestFit="1" customWidth="1"/>
    <col min="20" max="16384" width="9.42578125" style="1"/>
  </cols>
  <sheetData>
    <row r="1" spans="2:17" x14ac:dyDescent="0.25">
      <c r="B1" s="31" t="s">
        <v>234</v>
      </c>
    </row>
    <row r="2" spans="2:17" s="22" customFormat="1" ht="15.75" x14ac:dyDescent="0.25">
      <c r="B2" s="264" t="s">
        <v>84</v>
      </c>
      <c r="C2" s="264"/>
      <c r="D2" s="264"/>
      <c r="E2" s="264"/>
      <c r="J2" s="23"/>
      <c r="L2" s="23"/>
    </row>
    <row r="3" spans="2:17" x14ac:dyDescent="0.25">
      <c r="B3" s="15"/>
      <c r="C3" s="24" t="s">
        <v>1</v>
      </c>
      <c r="D3" s="270" t="s">
        <v>100</v>
      </c>
      <c r="E3" s="271"/>
      <c r="F3" s="272"/>
      <c r="G3" s="13"/>
      <c r="H3" s="27" t="s">
        <v>7</v>
      </c>
      <c r="I3" s="15"/>
      <c r="J3" s="28" t="s">
        <v>8</v>
      </c>
      <c r="K3" s="15"/>
      <c r="L3" s="28" t="s">
        <v>9</v>
      </c>
      <c r="M3" s="28" t="s">
        <v>10</v>
      </c>
      <c r="N3" s="28" t="s">
        <v>86</v>
      </c>
      <c r="O3" s="28" t="s">
        <v>173</v>
      </c>
      <c r="P3" s="28" t="s">
        <v>205</v>
      </c>
      <c r="Q3" s="15"/>
    </row>
    <row r="4" spans="2:17" ht="60" customHeight="1" x14ac:dyDescent="0.25">
      <c r="B4" s="6" t="s">
        <v>87</v>
      </c>
      <c r="C4" s="20" t="s">
        <v>88</v>
      </c>
      <c r="D4" s="273" t="s">
        <v>101</v>
      </c>
      <c r="E4" s="274"/>
      <c r="F4" s="275"/>
      <c r="G4" s="8" t="s">
        <v>90</v>
      </c>
      <c r="H4" s="266" t="s">
        <v>207</v>
      </c>
      <c r="I4" s="279"/>
      <c r="J4" s="279"/>
      <c r="K4" s="279"/>
      <c r="L4" s="267"/>
      <c r="M4" s="266" t="s">
        <v>213</v>
      </c>
      <c r="N4" s="267"/>
      <c r="O4" s="266" t="s">
        <v>212</v>
      </c>
      <c r="P4" s="267"/>
      <c r="Q4" s="34" t="s">
        <v>90</v>
      </c>
    </row>
    <row r="5" spans="2:17" ht="21.75" customHeight="1" x14ac:dyDescent="0.25">
      <c r="B5" s="10" t="s">
        <v>103</v>
      </c>
      <c r="C5" s="14">
        <f>SUM(C6:C6)</f>
        <v>10359242</v>
      </c>
      <c r="D5" s="14">
        <f>SUM(D6:D6)</f>
        <v>1928596</v>
      </c>
      <c r="E5" s="14">
        <f>SUM(E6:E6)</f>
        <v>0</v>
      </c>
      <c r="F5" s="17">
        <f>SUM(F6:F6)</f>
        <v>0</v>
      </c>
      <c r="G5" s="15"/>
      <c r="H5" s="17">
        <f>H6</f>
        <v>4838671</v>
      </c>
      <c r="I5" s="15"/>
      <c r="J5" s="17">
        <f>SUM(J6:J6)</f>
        <v>0</v>
      </c>
      <c r="K5" s="15"/>
      <c r="L5" s="17">
        <f>SUM(L6:L6)</f>
        <v>0</v>
      </c>
      <c r="M5" s="17">
        <f>SUM(M6:M6)</f>
        <v>2779025</v>
      </c>
      <c r="N5" s="17"/>
      <c r="O5" s="17">
        <f>SUM(O6:O6)</f>
        <v>812950</v>
      </c>
      <c r="P5" s="17"/>
      <c r="Q5" s="15"/>
    </row>
    <row r="6" spans="2:17" ht="113.25" customHeight="1" x14ac:dyDescent="0.25">
      <c r="B6" s="18" t="s">
        <v>95</v>
      </c>
      <c r="C6" s="21">
        <f>D6+E6+F6+H6+J6+L6+M6+O6</f>
        <v>10359242</v>
      </c>
      <c r="D6" s="276">
        <v>1928596</v>
      </c>
      <c r="E6" s="277"/>
      <c r="F6" s="278"/>
      <c r="G6" s="35" t="s">
        <v>104</v>
      </c>
      <c r="H6" s="276">
        <v>4838671</v>
      </c>
      <c r="I6" s="277"/>
      <c r="J6" s="277"/>
      <c r="K6" s="277"/>
      <c r="L6" s="278"/>
      <c r="M6" s="268">
        <v>2779025</v>
      </c>
      <c r="N6" s="269"/>
      <c r="O6" s="268">
        <v>812950</v>
      </c>
      <c r="P6" s="269"/>
      <c r="Q6" s="16"/>
    </row>
    <row r="7" spans="2:17" ht="24" customHeight="1" x14ac:dyDescent="0.25">
      <c r="B7" s="19"/>
      <c r="C7" s="21"/>
      <c r="D7" s="16"/>
      <c r="E7" s="16"/>
      <c r="F7" s="16"/>
      <c r="G7" s="16"/>
      <c r="H7" s="32"/>
      <c r="I7" s="16"/>
      <c r="J7" s="33"/>
      <c r="K7" s="11"/>
      <c r="L7" s="33"/>
      <c r="M7" s="33"/>
      <c r="N7" s="33"/>
      <c r="O7" s="33"/>
      <c r="P7" s="33"/>
      <c r="Q7" s="16"/>
    </row>
    <row r="8" spans="2:17" ht="22.5" customHeight="1" x14ac:dyDescent="0.25">
      <c r="F8" s="2"/>
    </row>
  </sheetData>
  <mergeCells count="10">
    <mergeCell ref="O4:P4"/>
    <mergeCell ref="O6:P6"/>
    <mergeCell ref="M4:N4"/>
    <mergeCell ref="B2:E2"/>
    <mergeCell ref="D3:F3"/>
    <mergeCell ref="D4:F4"/>
    <mergeCell ref="D6:F6"/>
    <mergeCell ref="H4:L4"/>
    <mergeCell ref="H6:L6"/>
    <mergeCell ref="M6:N6"/>
  </mergeCells>
  <phoneticPr fontId="14" type="noConversion"/>
  <pageMargins left="0.11811023622047245" right="0.11811023622047245" top="0.15748031496062992" bottom="0.35433070866141736" header="0.31496062992125984" footer="0.31496062992125984"/>
  <pageSetup paperSize="9" scale="58" orientation="landscape" r:id="rId1"/>
  <headerFoot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3881-2729-4A6F-9A6E-55C0DB7D2FFD}">
  <dimension ref="B1:AA14"/>
  <sheetViews>
    <sheetView topLeftCell="B1" zoomScale="90" zoomScaleNormal="90" workbookViewId="0">
      <pane xSplit="5" ySplit="6" topLeftCell="P7" activePane="bottomRight" state="frozen"/>
      <selection activeCell="B1" sqref="B1"/>
      <selection pane="topRight" activeCell="G1" sqref="G1"/>
      <selection pane="bottomLeft" activeCell="B7" sqref="B7"/>
      <selection pane="bottomRight" activeCell="F19" sqref="F19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" customWidth="1"/>
    <col min="4" max="4" width="16.5703125" style="3" customWidth="1"/>
    <col min="5" max="5" width="18.85546875" style="3" customWidth="1"/>
    <col min="6" max="7" width="16.5703125" style="3" customWidth="1"/>
    <col min="8" max="8" width="16" style="4" customWidth="1"/>
    <col min="9" max="10" width="15.5703125" style="2" customWidth="1"/>
    <col min="11" max="11" width="14.5703125" style="1" customWidth="1"/>
    <col min="12" max="12" width="14.7109375" style="1" customWidth="1"/>
    <col min="13" max="13" width="14.5703125" style="1" customWidth="1"/>
    <col min="14" max="14" width="18.28515625" style="29" customWidth="1"/>
    <col min="15" max="15" width="16.5703125" style="29" customWidth="1"/>
    <col min="16" max="17" width="16" style="29" customWidth="1"/>
    <col min="18" max="18" width="15.85546875" style="29" customWidth="1"/>
    <col min="19" max="19" width="14.5703125" style="1" customWidth="1"/>
    <col min="20" max="20" width="16.140625" style="1" customWidth="1"/>
    <col min="21" max="21" width="13.42578125" style="1" customWidth="1"/>
    <col min="22" max="23" width="15.5703125" style="1" customWidth="1"/>
    <col min="24" max="24" width="13.85546875" style="1" customWidth="1"/>
    <col min="25" max="25" width="13.7109375" style="1" hidden="1" customWidth="1"/>
    <col min="26" max="26" width="14.5703125" style="1" customWidth="1"/>
    <col min="27" max="27" width="15" style="1" customWidth="1"/>
    <col min="28" max="16384" width="9.42578125" style="1"/>
  </cols>
  <sheetData>
    <row r="1" spans="2:27" x14ac:dyDescent="0.25">
      <c r="B1" s="31" t="s">
        <v>234</v>
      </c>
      <c r="E1" s="184" t="s">
        <v>176</v>
      </c>
      <c r="F1" s="211">
        <f>D6</f>
        <v>14915662</v>
      </c>
    </row>
    <row r="2" spans="2:27" x14ac:dyDescent="0.25">
      <c r="B2" s="31"/>
      <c r="E2" s="184" t="s">
        <v>178</v>
      </c>
      <c r="F2" s="212">
        <f>E6</f>
        <v>0</v>
      </c>
    </row>
    <row r="3" spans="2:27" s="22" customFormat="1" ht="15.75" x14ac:dyDescent="0.25">
      <c r="B3" s="264" t="s">
        <v>105</v>
      </c>
      <c r="C3" s="264"/>
      <c r="D3" s="264"/>
      <c r="E3" s="264"/>
      <c r="F3" s="264"/>
      <c r="G3" s="264"/>
      <c r="H3" s="264"/>
      <c r="I3" s="264"/>
      <c r="J3" s="173"/>
      <c r="N3" s="23"/>
      <c r="O3" s="23"/>
      <c r="P3" s="23"/>
      <c r="Q3" s="23"/>
      <c r="R3" s="23"/>
    </row>
    <row r="4" spans="2:27" ht="30" customHeight="1" x14ac:dyDescent="0.25">
      <c r="B4" s="15"/>
      <c r="C4" s="24" t="s">
        <v>106</v>
      </c>
      <c r="D4" s="39" t="s">
        <v>107</v>
      </c>
      <c r="E4" s="36" t="s">
        <v>108</v>
      </c>
      <c r="F4" s="280" t="s">
        <v>109</v>
      </c>
      <c r="G4" s="43" t="s">
        <v>3</v>
      </c>
      <c r="H4" s="44" t="s">
        <v>4</v>
      </c>
      <c r="I4" s="45" t="s">
        <v>5</v>
      </c>
      <c r="J4" s="42" t="s">
        <v>110</v>
      </c>
      <c r="K4" s="174" t="s">
        <v>6</v>
      </c>
      <c r="L4" s="41" t="s">
        <v>111</v>
      </c>
      <c r="M4" s="45" t="s">
        <v>7</v>
      </c>
      <c r="N4" s="46" t="s">
        <v>8</v>
      </c>
      <c r="O4" s="41" t="s">
        <v>112</v>
      </c>
      <c r="P4" s="46" t="s">
        <v>9</v>
      </c>
      <c r="Q4" s="41" t="s">
        <v>169</v>
      </c>
      <c r="R4" s="36" t="s">
        <v>108</v>
      </c>
      <c r="S4" s="46" t="s">
        <v>10</v>
      </c>
      <c r="T4" s="216" t="s">
        <v>169</v>
      </c>
      <c r="U4" s="46" t="s">
        <v>86</v>
      </c>
      <c r="V4" s="46" t="s">
        <v>173</v>
      </c>
      <c r="W4" s="216" t="s">
        <v>204</v>
      </c>
      <c r="X4" s="46" t="s">
        <v>205</v>
      </c>
      <c r="Y4" s="46"/>
      <c r="Z4" s="216" t="s">
        <v>205</v>
      </c>
      <c r="AA4" s="46" t="s">
        <v>2</v>
      </c>
    </row>
    <row r="5" spans="2:27" ht="87.75" customHeight="1" x14ac:dyDescent="0.25">
      <c r="B5" s="6" t="s">
        <v>87</v>
      </c>
      <c r="C5" s="20" t="s">
        <v>88</v>
      </c>
      <c r="D5" s="40" t="s">
        <v>88</v>
      </c>
      <c r="E5" s="37" t="s">
        <v>113</v>
      </c>
      <c r="F5" s="281"/>
      <c r="G5" s="9" t="s">
        <v>114</v>
      </c>
      <c r="H5" s="9" t="s">
        <v>115</v>
      </c>
      <c r="I5" s="9" t="s">
        <v>116</v>
      </c>
      <c r="J5" s="40" t="s">
        <v>117</v>
      </c>
      <c r="K5" s="9" t="s">
        <v>118</v>
      </c>
      <c r="L5" s="40" t="s">
        <v>119</v>
      </c>
      <c r="M5" s="9" t="s">
        <v>120</v>
      </c>
      <c r="N5" s="9" t="s">
        <v>121</v>
      </c>
      <c r="O5" s="40" t="s">
        <v>122</v>
      </c>
      <c r="P5" s="9" t="s">
        <v>123</v>
      </c>
      <c r="Q5" s="40" t="s">
        <v>170</v>
      </c>
      <c r="R5" s="37" t="s">
        <v>222</v>
      </c>
      <c r="S5" s="9" t="s">
        <v>102</v>
      </c>
      <c r="T5" s="217" t="s">
        <v>187</v>
      </c>
      <c r="U5" s="9" t="s">
        <v>171</v>
      </c>
      <c r="V5" s="9" t="s">
        <v>189</v>
      </c>
      <c r="W5" s="217" t="s">
        <v>229</v>
      </c>
      <c r="X5" s="9" t="s">
        <v>206</v>
      </c>
      <c r="Y5" s="9"/>
      <c r="Z5" s="217" t="s">
        <v>238</v>
      </c>
      <c r="AA5" s="9" t="s">
        <v>239</v>
      </c>
    </row>
    <row r="6" spans="2:27" x14ac:dyDescent="0.25">
      <c r="B6" s="10" t="s">
        <v>124</v>
      </c>
      <c r="C6" s="82">
        <f>SUM(C7:C10)</f>
        <v>17864410.222516663</v>
      </c>
      <c r="D6" s="82">
        <f>SUM(D7:D10)</f>
        <v>14915662</v>
      </c>
      <c r="E6" s="82">
        <f t="shared" ref="E6:U6" si="0">SUM(E7:E10)</f>
        <v>0</v>
      </c>
      <c r="F6" s="87">
        <f t="shared" si="0"/>
        <v>2948748.2225166643</v>
      </c>
      <c r="G6" s="82">
        <f t="shared" si="0"/>
        <v>511668.62</v>
      </c>
      <c r="H6" s="82">
        <f t="shared" si="0"/>
        <v>651260.66999999993</v>
      </c>
      <c r="I6" s="82">
        <f t="shared" si="0"/>
        <v>1395110.58</v>
      </c>
      <c r="J6" s="82">
        <f t="shared" si="0"/>
        <v>437998</v>
      </c>
      <c r="K6" s="82">
        <f t="shared" si="0"/>
        <v>1909719.7476000001</v>
      </c>
      <c r="L6" s="82">
        <f t="shared" si="0"/>
        <v>2207338</v>
      </c>
      <c r="M6" s="82">
        <f t="shared" si="0"/>
        <v>1981366.9140000003</v>
      </c>
      <c r="N6" s="82">
        <f t="shared" si="0"/>
        <v>1868155.8699999996</v>
      </c>
      <c r="O6" s="82">
        <f t="shared" si="0"/>
        <v>1642005</v>
      </c>
      <c r="P6" s="82">
        <f t="shared" si="0"/>
        <v>1900815.92</v>
      </c>
      <c r="Q6" s="82">
        <f t="shared" si="0"/>
        <v>1622161</v>
      </c>
      <c r="R6" s="82">
        <f t="shared" si="0"/>
        <v>0</v>
      </c>
      <c r="S6" s="82">
        <f t="shared" si="0"/>
        <v>1514753.96</v>
      </c>
      <c r="T6" s="218">
        <f t="shared" ref="T6" si="1">SUM(T7:T10)</f>
        <v>6043864</v>
      </c>
      <c r="U6" s="82">
        <f t="shared" si="0"/>
        <v>856783.53</v>
      </c>
      <c r="V6" s="82">
        <f t="shared" ref="V6:Y6" si="2">SUM(V7:V10)</f>
        <v>712542.28</v>
      </c>
      <c r="W6" s="218">
        <f t="shared" si="2"/>
        <v>713797</v>
      </c>
      <c r="X6" s="82">
        <f t="shared" si="2"/>
        <v>2250606.580916666</v>
      </c>
      <c r="Y6" s="82">
        <f t="shared" si="2"/>
        <v>0</v>
      </c>
      <c r="Z6" s="218">
        <f t="shared" ref="Z6:AA6" si="3">SUM(Z7:Z10)</f>
        <v>2248499</v>
      </c>
      <c r="AA6" s="82">
        <f t="shared" si="3"/>
        <v>2311625.5499999993</v>
      </c>
    </row>
    <row r="7" spans="2:27" s="5" customFormat="1" ht="15" customHeight="1" x14ac:dyDescent="0.25">
      <c r="B7" s="12" t="s">
        <v>125</v>
      </c>
      <c r="C7" s="88">
        <f>G7+H7+I7+K7+M7+N7+P7+S7+U7+V7+X7+AA7</f>
        <v>3948680.7976000002</v>
      </c>
      <c r="D7" s="89">
        <f>J7+L7+O7+Q7+T7+W7+Z7</f>
        <v>3730601</v>
      </c>
      <c r="E7" s="90">
        <f>R7</f>
        <v>0</v>
      </c>
      <c r="F7" s="91">
        <f>C7-D7-E7</f>
        <v>218079.79760000017</v>
      </c>
      <c r="G7" s="92">
        <v>170599.62</v>
      </c>
      <c r="H7" s="92">
        <v>208990.88999999998</v>
      </c>
      <c r="I7" s="92">
        <v>948789.96</v>
      </c>
      <c r="J7" s="93"/>
      <c r="K7" s="92">
        <v>1108155.3676</v>
      </c>
      <c r="L7" s="93">
        <v>2207338</v>
      </c>
      <c r="M7" s="92">
        <v>464506.45999999996</v>
      </c>
      <c r="N7" s="47">
        <v>171043.04</v>
      </c>
      <c r="O7" s="93"/>
      <c r="P7" s="47">
        <v>18602.54</v>
      </c>
      <c r="Q7" s="93">
        <f>1622161-147633</f>
        <v>1474528</v>
      </c>
      <c r="R7" s="94"/>
      <c r="S7" s="47">
        <v>800326.62000000011</v>
      </c>
      <c r="T7" s="219"/>
      <c r="U7" s="47">
        <v>2985.4</v>
      </c>
      <c r="V7" s="47">
        <v>47480.4</v>
      </c>
      <c r="W7" s="219">
        <v>48735</v>
      </c>
      <c r="X7" s="47">
        <v>1461.4099999999999</v>
      </c>
      <c r="Y7" s="47"/>
      <c r="Z7" s="219"/>
      <c r="AA7" s="47">
        <v>5739.0899999999992</v>
      </c>
    </row>
    <row r="8" spans="2:27" s="5" customFormat="1" ht="15" customHeight="1" x14ac:dyDescent="0.25">
      <c r="B8" s="12" t="s">
        <v>126</v>
      </c>
      <c r="C8" s="88">
        <f t="shared" ref="C8:C10" si="4">G8+H8+I8+K8+M8+N8+P8+S8+U8+V8+X8+AA8</f>
        <v>4705799.74</v>
      </c>
      <c r="D8" s="89">
        <f>J8+L8+O8+Q8+T8+W8+Z8</f>
        <v>4003628</v>
      </c>
      <c r="E8" s="90">
        <f t="shared" ref="E8:E10" si="5">R8</f>
        <v>0</v>
      </c>
      <c r="F8" s="91">
        <f>C8-D8-E8</f>
        <v>702171.74000000022</v>
      </c>
      <c r="G8" s="95"/>
      <c r="H8" s="92">
        <v>442269.77999999997</v>
      </c>
      <c r="I8" s="92">
        <v>443672.25</v>
      </c>
      <c r="J8" s="93">
        <v>96929</v>
      </c>
      <c r="K8" s="95">
        <v>566342.89</v>
      </c>
      <c r="L8" s="42"/>
      <c r="M8" s="92">
        <v>846137.62000000011</v>
      </c>
      <c r="N8" s="47">
        <v>940998.12</v>
      </c>
      <c r="O8" s="42"/>
      <c r="P8" s="47">
        <v>525189.05000000005</v>
      </c>
      <c r="Q8" s="42"/>
      <c r="R8" s="96"/>
      <c r="S8" s="47">
        <v>77518.7</v>
      </c>
      <c r="T8" s="219">
        <v>3401703</v>
      </c>
      <c r="U8" s="47">
        <v>74350.36</v>
      </c>
      <c r="V8" s="47">
        <v>386240.47</v>
      </c>
      <c r="W8" s="219">
        <v>386240</v>
      </c>
      <c r="X8" s="47">
        <v>118756.01000000001</v>
      </c>
      <c r="Y8" s="47"/>
      <c r="Z8" s="219">
        <v>118756</v>
      </c>
      <c r="AA8" s="47">
        <v>284324.49</v>
      </c>
    </row>
    <row r="9" spans="2:27" s="5" customFormat="1" ht="15" customHeight="1" x14ac:dyDescent="0.25">
      <c r="B9" s="12" t="s">
        <v>127</v>
      </c>
      <c r="C9" s="88">
        <f t="shared" si="4"/>
        <v>8721227.6849166639</v>
      </c>
      <c r="D9" s="89">
        <f>J9+L9+O9+Q9+T9+W9+Z9</f>
        <v>6692731</v>
      </c>
      <c r="E9" s="90">
        <f t="shared" si="5"/>
        <v>0</v>
      </c>
      <c r="F9" s="91">
        <f>C9-D9-E9</f>
        <v>2028496.6849166639</v>
      </c>
      <c r="G9" s="95"/>
      <c r="H9" s="92"/>
      <c r="I9" s="92">
        <v>2648.37</v>
      </c>
      <c r="J9" s="93"/>
      <c r="K9" s="95">
        <v>235221.49</v>
      </c>
      <c r="L9" s="42"/>
      <c r="M9" s="92">
        <v>670722.83400000015</v>
      </c>
      <c r="N9" s="47">
        <v>756114.70999999985</v>
      </c>
      <c r="O9" s="42">
        <v>1642005</v>
      </c>
      <c r="P9" s="47">
        <v>1209391.3299999998</v>
      </c>
      <c r="Q9" s="42"/>
      <c r="R9" s="97"/>
      <c r="S9" s="47">
        <v>636908.6399999999</v>
      </c>
      <c r="T9" s="219">
        <v>2642161</v>
      </c>
      <c r="U9" s="47">
        <v>779447.77</v>
      </c>
      <c r="V9" s="47">
        <v>278821.40999999997</v>
      </c>
      <c r="W9" s="219">
        <v>278822</v>
      </c>
      <c r="X9" s="47">
        <v>2130389.160916666</v>
      </c>
      <c r="Y9" s="47"/>
      <c r="Z9" s="219">
        <v>2129743</v>
      </c>
      <c r="AA9" s="47">
        <v>2021561.9699999995</v>
      </c>
    </row>
    <row r="10" spans="2:27" s="5" customFormat="1" ht="15" customHeight="1" x14ac:dyDescent="0.25">
      <c r="B10" s="176" t="s">
        <v>172</v>
      </c>
      <c r="C10" s="88">
        <f t="shared" si="4"/>
        <v>488702</v>
      </c>
      <c r="D10" s="89">
        <f>J10+L10+O10+Q10+T10+W10+Z10</f>
        <v>488702</v>
      </c>
      <c r="E10" s="90">
        <f t="shared" si="5"/>
        <v>0</v>
      </c>
      <c r="F10" s="91">
        <f>C10-D10-E10</f>
        <v>0</v>
      </c>
      <c r="G10" s="95">
        <v>341069</v>
      </c>
      <c r="H10" s="92"/>
      <c r="I10" s="92"/>
      <c r="J10" s="93">
        <v>341069</v>
      </c>
      <c r="K10" s="95"/>
      <c r="L10" s="42"/>
      <c r="M10" s="95"/>
      <c r="N10" s="47"/>
      <c r="O10" s="42"/>
      <c r="P10" s="47">
        <v>147633</v>
      </c>
      <c r="Q10" s="42">
        <v>147633</v>
      </c>
      <c r="R10" s="94"/>
      <c r="S10" s="47"/>
      <c r="T10" s="220"/>
      <c r="U10" s="47"/>
      <c r="V10" s="47"/>
      <c r="W10" s="220"/>
      <c r="X10" s="47"/>
      <c r="Y10" s="47"/>
      <c r="Z10" s="220"/>
      <c r="AA10" s="47"/>
    </row>
    <row r="11" spans="2:27" s="5" customFormat="1" x14ac:dyDescent="0.25">
      <c r="C11" s="98"/>
      <c r="D11" s="177"/>
      <c r="E11" s="177"/>
      <c r="F11" s="177"/>
      <c r="G11" s="177"/>
      <c r="H11" s="178"/>
      <c r="I11" s="178"/>
      <c r="J11" s="178"/>
      <c r="K11" s="177"/>
      <c r="L11" s="98"/>
      <c r="M11" s="178"/>
      <c r="N11" s="179"/>
      <c r="O11" s="179"/>
      <c r="P11" s="179"/>
      <c r="Q11" s="179"/>
      <c r="R11" s="179"/>
      <c r="S11" s="98"/>
      <c r="T11" s="214"/>
    </row>
    <row r="12" spans="2:27" x14ac:dyDescent="0.25">
      <c r="C12" s="85"/>
      <c r="D12" s="99"/>
      <c r="E12" s="99"/>
      <c r="F12" s="99"/>
      <c r="G12" s="99"/>
      <c r="H12" s="100"/>
      <c r="I12" s="100"/>
      <c r="J12" s="100"/>
      <c r="K12" s="100"/>
      <c r="L12" s="100"/>
      <c r="M12" s="100"/>
      <c r="N12" s="86"/>
      <c r="O12" s="86"/>
      <c r="P12" s="86"/>
      <c r="Q12" s="86"/>
      <c r="R12" s="86"/>
      <c r="S12" s="85"/>
      <c r="T12" s="85"/>
    </row>
    <row r="13" spans="2:27" x14ac:dyDescent="0.25">
      <c r="C13" s="85"/>
      <c r="D13" s="99"/>
      <c r="E13" s="99"/>
      <c r="F13" s="99"/>
      <c r="G13" s="99"/>
      <c r="H13" s="100"/>
      <c r="I13" s="85"/>
      <c r="J13" s="85"/>
      <c r="K13" s="85"/>
      <c r="L13" s="85"/>
      <c r="M13" s="85"/>
      <c r="N13" s="86"/>
      <c r="O13" s="86"/>
      <c r="P13" s="86"/>
      <c r="Q13" s="86"/>
      <c r="R13" s="86"/>
      <c r="S13" s="85"/>
      <c r="T13" s="85"/>
    </row>
    <row r="14" spans="2:27" x14ac:dyDescent="0.25">
      <c r="C14" s="85"/>
      <c r="D14" s="99"/>
      <c r="E14" s="99"/>
      <c r="F14" s="99"/>
      <c r="G14" s="99"/>
      <c r="H14" s="100"/>
      <c r="I14" s="100"/>
      <c r="J14" s="100"/>
      <c r="K14" s="100"/>
      <c r="L14" s="85"/>
      <c r="M14" s="100"/>
      <c r="N14" s="86"/>
      <c r="O14" s="86"/>
      <c r="P14" s="86"/>
      <c r="Q14" s="86"/>
      <c r="R14" s="86"/>
      <c r="S14" s="85"/>
      <c r="T14" s="85"/>
    </row>
  </sheetData>
  <mergeCells count="2">
    <mergeCell ref="F4:F5"/>
    <mergeCell ref="B3:I3"/>
  </mergeCells>
  <phoneticPr fontId="14" type="noConversion"/>
  <pageMargins left="0.11811023622047245" right="0.11811023622047245" top="0.15748031496062992" bottom="0.35433070866141736" header="0.31496062992125984" footer="0.31496062992125984"/>
  <pageSetup paperSize="9" scale="55" fitToHeight="0" orientation="landscape" r:id="rId1"/>
  <headerFooter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D21A-94C8-4FAE-9F2D-59C294E0C98C}">
  <dimension ref="A1:N66"/>
  <sheetViews>
    <sheetView workbookViewId="0">
      <selection activeCell="Q16" sqref="Q16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29" customWidth="1"/>
    <col min="4" max="4" width="13" style="4" hidden="1" customWidth="1"/>
    <col min="5" max="5" width="15.5703125" style="2" hidden="1" customWidth="1"/>
    <col min="6" max="6" width="17" style="4" customWidth="1"/>
    <col min="7" max="7" width="15.85546875" style="4" customWidth="1"/>
    <col min="8" max="8" width="15.85546875" style="128" customWidth="1"/>
    <col min="9" max="10" width="15.85546875" style="29" customWidth="1"/>
    <col min="11" max="11" width="13.7109375" style="1" customWidth="1"/>
    <col min="12" max="12" width="12.85546875" style="1" customWidth="1"/>
    <col min="13" max="13" width="14" style="1" customWidth="1"/>
    <col min="14" max="14" width="13.140625" style="1" customWidth="1"/>
    <col min="15" max="16384" width="9.42578125" style="1"/>
  </cols>
  <sheetData>
    <row r="1" spans="2:14" x14ac:dyDescent="0.25">
      <c r="B1" s="31" t="s">
        <v>234</v>
      </c>
      <c r="D1" s="53"/>
      <c r="E1" s="54"/>
      <c r="F1" s="53"/>
      <c r="G1" s="184" t="s">
        <v>176</v>
      </c>
      <c r="H1" s="185">
        <f>F5+G5+H5+I5+J5+K5+L5+M5+N5</f>
        <v>3127078.8000000003</v>
      </c>
      <c r="I1" s="55"/>
      <c r="J1" s="55"/>
      <c r="K1" s="51"/>
    </row>
    <row r="2" spans="2:14" s="22" customFormat="1" ht="15.75" x14ac:dyDescent="0.25">
      <c r="B2" s="248" t="s">
        <v>134</v>
      </c>
      <c r="C2" s="248"/>
      <c r="D2" s="248"/>
      <c r="E2" s="248"/>
      <c r="F2" s="159"/>
      <c r="G2" s="186" t="s">
        <v>177</v>
      </c>
      <c r="H2" s="186">
        <v>0</v>
      </c>
      <c r="I2" s="57"/>
      <c r="J2" s="57"/>
      <c r="K2" s="56"/>
    </row>
    <row r="3" spans="2:14" ht="38.25" customHeight="1" x14ac:dyDescent="0.2">
      <c r="B3" s="141" t="s">
        <v>135</v>
      </c>
      <c r="C3" s="156" t="s">
        <v>1</v>
      </c>
      <c r="D3" s="59" t="s">
        <v>4</v>
      </c>
      <c r="E3" s="61" t="s">
        <v>5</v>
      </c>
      <c r="F3" s="160" t="s">
        <v>6</v>
      </c>
      <c r="G3" s="59" t="s">
        <v>7</v>
      </c>
      <c r="H3" s="161" t="s">
        <v>8</v>
      </c>
      <c r="I3" s="63" t="s">
        <v>9</v>
      </c>
      <c r="J3" s="63" t="s">
        <v>10</v>
      </c>
      <c r="K3" s="63" t="s">
        <v>86</v>
      </c>
      <c r="L3" s="63" t="s">
        <v>173</v>
      </c>
      <c r="M3" s="63" t="s">
        <v>205</v>
      </c>
      <c r="N3" s="63" t="s">
        <v>2</v>
      </c>
    </row>
    <row r="4" spans="2:14" s="147" customFormat="1" ht="56.25" customHeight="1" x14ac:dyDescent="0.2">
      <c r="B4" s="148"/>
      <c r="C4" s="157"/>
      <c r="D4" s="149"/>
      <c r="E4" s="150"/>
      <c r="F4" s="162" t="s">
        <v>162</v>
      </c>
      <c r="G4" s="162" t="s">
        <v>174</v>
      </c>
      <c r="H4" s="162" t="s">
        <v>174</v>
      </c>
      <c r="I4" s="162" t="s">
        <v>174</v>
      </c>
      <c r="J4" s="162" t="s">
        <v>174</v>
      </c>
      <c r="K4" s="162" t="s">
        <v>174</v>
      </c>
      <c r="L4" s="162" t="s">
        <v>188</v>
      </c>
      <c r="M4" s="162" t="s">
        <v>208</v>
      </c>
      <c r="N4" s="162" t="s">
        <v>221</v>
      </c>
    </row>
    <row r="5" spans="2:14" s="22" customFormat="1" ht="14.25" x14ac:dyDescent="0.2">
      <c r="B5" s="142" t="s">
        <v>168</v>
      </c>
      <c r="C5" s="163">
        <f>SUM(C6:C30)</f>
        <v>3127078.7999999975</v>
      </c>
      <c r="D5" s="151"/>
      <c r="E5" s="151"/>
      <c r="F5" s="163">
        <f>SUM(F6:F30)</f>
        <v>347453.2</v>
      </c>
      <c r="G5" s="163">
        <f t="shared" ref="G5:L5" si="0">SUM(G6:G30)</f>
        <v>347453.2</v>
      </c>
      <c r="H5" s="163">
        <f t="shared" si="0"/>
        <v>347453.2</v>
      </c>
      <c r="I5" s="163">
        <f t="shared" si="0"/>
        <v>347453.2</v>
      </c>
      <c r="J5" s="163">
        <f t="shared" si="0"/>
        <v>347453.2</v>
      </c>
      <c r="K5" s="163">
        <f t="shared" si="0"/>
        <v>347453.2</v>
      </c>
      <c r="L5" s="163">
        <f t="shared" si="0"/>
        <v>347453.2</v>
      </c>
      <c r="M5" s="163">
        <f t="shared" ref="M5" si="1">SUM(M6:M30)</f>
        <v>347453.2</v>
      </c>
      <c r="N5" s="163">
        <f t="shared" ref="N5" si="2">SUM(N6:N30)</f>
        <v>347453.2</v>
      </c>
    </row>
    <row r="6" spans="2:14" x14ac:dyDescent="0.25">
      <c r="B6" s="139" t="s">
        <v>136</v>
      </c>
      <c r="C6" s="154">
        <f>SUM(F6:N6)</f>
        <v>660342.60000000009</v>
      </c>
      <c r="D6" s="69"/>
      <c r="E6" s="70"/>
      <c r="F6" s="164">
        <v>73371.399999999994</v>
      </c>
      <c r="G6" s="167">
        <v>73371.399999999994</v>
      </c>
      <c r="H6" s="167">
        <v>73371.399999999994</v>
      </c>
      <c r="I6" s="167">
        <v>73371.399999999994</v>
      </c>
      <c r="J6" s="167">
        <v>73371.399999999994</v>
      </c>
      <c r="K6" s="167">
        <v>73371.399999999994</v>
      </c>
      <c r="L6" s="167">
        <v>73371.399999999994</v>
      </c>
      <c r="M6" s="167">
        <v>73371.399999999994</v>
      </c>
      <c r="N6" s="167">
        <v>73371.399999999994</v>
      </c>
    </row>
    <row r="7" spans="2:14" x14ac:dyDescent="0.25">
      <c r="B7" s="139" t="s">
        <v>137</v>
      </c>
      <c r="C7" s="154">
        <f t="shared" ref="C7:C30" si="3">SUM(F7:N7)</f>
        <v>237252.59999999998</v>
      </c>
      <c r="D7" s="73"/>
      <c r="E7" s="74"/>
      <c r="F7" s="164">
        <v>26361.4</v>
      </c>
      <c r="G7" s="167">
        <v>26361.4</v>
      </c>
      <c r="H7" s="167">
        <v>26361.4</v>
      </c>
      <c r="I7" s="167">
        <v>26361.4</v>
      </c>
      <c r="J7" s="167">
        <v>26361.4</v>
      </c>
      <c r="K7" s="167">
        <v>26361.4</v>
      </c>
      <c r="L7" s="167">
        <v>26361.4</v>
      </c>
      <c r="M7" s="167">
        <v>26361.4</v>
      </c>
      <c r="N7" s="167">
        <v>26361.4</v>
      </c>
    </row>
    <row r="8" spans="2:14" x14ac:dyDescent="0.25">
      <c r="B8" s="139" t="s">
        <v>138</v>
      </c>
      <c r="C8" s="154">
        <f t="shared" si="3"/>
        <v>331224.30000000005</v>
      </c>
      <c r="D8" s="73"/>
      <c r="E8" s="74"/>
      <c r="F8" s="164">
        <v>36802.699999999997</v>
      </c>
      <c r="G8" s="167">
        <v>36802.699999999997</v>
      </c>
      <c r="H8" s="167">
        <v>36802.699999999997</v>
      </c>
      <c r="I8" s="167">
        <v>36802.699999999997</v>
      </c>
      <c r="J8" s="167">
        <v>36802.699999999997</v>
      </c>
      <c r="K8" s="167">
        <v>36802.699999999997</v>
      </c>
      <c r="L8" s="167">
        <v>36802.699999999997</v>
      </c>
      <c r="M8" s="167">
        <v>36802.699999999997</v>
      </c>
      <c r="N8" s="167">
        <v>36802.699999999997</v>
      </c>
    </row>
    <row r="9" spans="2:14" x14ac:dyDescent="0.25">
      <c r="B9" s="139" t="s">
        <v>139</v>
      </c>
      <c r="C9" s="154">
        <f t="shared" si="3"/>
        <v>239693.40000000002</v>
      </c>
      <c r="D9" s="73"/>
      <c r="E9" s="74"/>
      <c r="F9" s="164">
        <v>26632.6</v>
      </c>
      <c r="G9" s="167">
        <v>26632.6</v>
      </c>
      <c r="H9" s="167">
        <v>26632.6</v>
      </c>
      <c r="I9" s="167">
        <v>26632.6</v>
      </c>
      <c r="J9" s="167">
        <v>26632.6</v>
      </c>
      <c r="K9" s="167">
        <v>26632.6</v>
      </c>
      <c r="L9" s="167">
        <v>26632.6</v>
      </c>
      <c r="M9" s="167">
        <v>26632.6</v>
      </c>
      <c r="N9" s="167">
        <v>26632.6</v>
      </c>
    </row>
    <row r="10" spans="2:14" x14ac:dyDescent="0.25">
      <c r="B10" s="139" t="s">
        <v>140</v>
      </c>
      <c r="C10" s="154">
        <f t="shared" si="3"/>
        <v>210145.5</v>
      </c>
      <c r="D10" s="73"/>
      <c r="E10" s="74"/>
      <c r="F10" s="164">
        <v>23349.5</v>
      </c>
      <c r="G10" s="167">
        <v>23349.5</v>
      </c>
      <c r="H10" s="167">
        <v>23349.5</v>
      </c>
      <c r="I10" s="167">
        <v>23349.5</v>
      </c>
      <c r="J10" s="167">
        <v>23349.5</v>
      </c>
      <c r="K10" s="167">
        <v>23349.5</v>
      </c>
      <c r="L10" s="167">
        <v>23349.5</v>
      </c>
      <c r="M10" s="167">
        <v>23349.5</v>
      </c>
      <c r="N10" s="167">
        <v>23349.5</v>
      </c>
    </row>
    <row r="11" spans="2:14" x14ac:dyDescent="0.25">
      <c r="B11" s="139" t="s">
        <v>141</v>
      </c>
      <c r="C11" s="154">
        <f t="shared" si="3"/>
        <v>253703.69999999995</v>
      </c>
      <c r="D11" s="73"/>
      <c r="E11" s="74"/>
      <c r="F11" s="164">
        <v>28189.3</v>
      </c>
      <c r="G11" s="167">
        <v>28189.3</v>
      </c>
      <c r="H11" s="167">
        <v>28189.3</v>
      </c>
      <c r="I11" s="167">
        <v>28189.3</v>
      </c>
      <c r="J11" s="167">
        <v>28189.3</v>
      </c>
      <c r="K11" s="167">
        <v>28189.3</v>
      </c>
      <c r="L11" s="167">
        <v>28189.3</v>
      </c>
      <c r="M11" s="167">
        <v>28189.3</v>
      </c>
      <c r="N11" s="167">
        <v>28189.3</v>
      </c>
    </row>
    <row r="12" spans="2:14" x14ac:dyDescent="0.25">
      <c r="B12" s="139" t="s">
        <v>142</v>
      </c>
      <c r="C12" s="154">
        <f t="shared" si="3"/>
        <v>240118.19999999995</v>
      </c>
      <c r="D12" s="73"/>
      <c r="E12" s="75"/>
      <c r="F12" s="164">
        <v>26679.8</v>
      </c>
      <c r="G12" s="167">
        <v>26679.8</v>
      </c>
      <c r="H12" s="167">
        <v>26679.8</v>
      </c>
      <c r="I12" s="167">
        <v>26679.8</v>
      </c>
      <c r="J12" s="167">
        <v>26679.8</v>
      </c>
      <c r="K12" s="167">
        <v>26679.8</v>
      </c>
      <c r="L12" s="167">
        <v>26679.8</v>
      </c>
      <c r="M12" s="167">
        <v>26679.8</v>
      </c>
      <c r="N12" s="167">
        <v>26679.8</v>
      </c>
    </row>
    <row r="13" spans="2:14" x14ac:dyDescent="0.25">
      <c r="B13" s="139" t="s">
        <v>143</v>
      </c>
      <c r="C13" s="154">
        <f t="shared" si="3"/>
        <v>106898.40000000002</v>
      </c>
      <c r="D13" s="73"/>
      <c r="E13" s="75"/>
      <c r="F13" s="164">
        <v>11877.6</v>
      </c>
      <c r="G13" s="167">
        <v>11877.6</v>
      </c>
      <c r="H13" s="167">
        <v>11877.6</v>
      </c>
      <c r="I13" s="167">
        <v>11877.6</v>
      </c>
      <c r="J13" s="167">
        <v>11877.6</v>
      </c>
      <c r="K13" s="167">
        <v>11877.6</v>
      </c>
      <c r="L13" s="167">
        <v>11877.6</v>
      </c>
      <c r="M13" s="167">
        <v>11877.6</v>
      </c>
      <c r="N13" s="167">
        <v>11877.6</v>
      </c>
    </row>
    <row r="14" spans="2:14" x14ac:dyDescent="0.25">
      <c r="B14" s="139" t="s">
        <v>144</v>
      </c>
      <c r="C14" s="154">
        <f t="shared" si="3"/>
        <v>157758.30000000002</v>
      </c>
      <c r="D14" s="73"/>
      <c r="E14" s="75"/>
      <c r="F14" s="164">
        <v>17528.7</v>
      </c>
      <c r="G14" s="167">
        <v>17528.7</v>
      </c>
      <c r="H14" s="167">
        <v>17528.7</v>
      </c>
      <c r="I14" s="167">
        <v>17528.7</v>
      </c>
      <c r="J14" s="167">
        <v>17528.7</v>
      </c>
      <c r="K14" s="167">
        <v>17528.7</v>
      </c>
      <c r="L14" s="167">
        <v>17528.7</v>
      </c>
      <c r="M14" s="167">
        <v>17528.7</v>
      </c>
      <c r="N14" s="167">
        <v>17528.7</v>
      </c>
    </row>
    <row r="15" spans="2:14" x14ac:dyDescent="0.25">
      <c r="B15" s="139" t="s">
        <v>145</v>
      </c>
      <c r="C15" s="154">
        <f t="shared" si="3"/>
        <v>53370.899999999994</v>
      </c>
      <c r="D15" s="73"/>
      <c r="E15" s="75"/>
      <c r="F15" s="164">
        <v>5930.1</v>
      </c>
      <c r="G15" s="167">
        <v>5930.1</v>
      </c>
      <c r="H15" s="167">
        <v>5930.1</v>
      </c>
      <c r="I15" s="167">
        <v>5930.1</v>
      </c>
      <c r="J15" s="167">
        <v>5930.1</v>
      </c>
      <c r="K15" s="167">
        <v>5930.1</v>
      </c>
      <c r="L15" s="167">
        <v>5930.1</v>
      </c>
      <c r="M15" s="167">
        <v>5930.1</v>
      </c>
      <c r="N15" s="167">
        <v>5930.1</v>
      </c>
    </row>
    <row r="16" spans="2:14" x14ac:dyDescent="0.25">
      <c r="B16" s="139" t="s">
        <v>146</v>
      </c>
      <c r="C16" s="154">
        <f t="shared" si="3"/>
        <v>69684.299999999988</v>
      </c>
      <c r="D16" s="73"/>
      <c r="E16" s="75"/>
      <c r="F16" s="164">
        <v>7742.7</v>
      </c>
      <c r="G16" s="167">
        <v>7742.7</v>
      </c>
      <c r="H16" s="167">
        <v>7742.7</v>
      </c>
      <c r="I16" s="167">
        <v>7742.7</v>
      </c>
      <c r="J16" s="167">
        <v>7742.7</v>
      </c>
      <c r="K16" s="167">
        <v>7742.7</v>
      </c>
      <c r="L16" s="167">
        <v>7742.7</v>
      </c>
      <c r="M16" s="167">
        <v>7742.7</v>
      </c>
      <c r="N16" s="167">
        <v>7742.7</v>
      </c>
    </row>
    <row r="17" spans="1:14" x14ac:dyDescent="0.25">
      <c r="B17" s="139" t="s">
        <v>147</v>
      </c>
      <c r="C17" s="154">
        <f t="shared" si="3"/>
        <v>31537.800000000003</v>
      </c>
      <c r="D17" s="73"/>
      <c r="E17" s="75"/>
      <c r="F17" s="164">
        <v>3504.2</v>
      </c>
      <c r="G17" s="167">
        <v>3504.2</v>
      </c>
      <c r="H17" s="167">
        <v>3504.2</v>
      </c>
      <c r="I17" s="167">
        <v>3504.2</v>
      </c>
      <c r="J17" s="167">
        <v>3504.2</v>
      </c>
      <c r="K17" s="167">
        <v>3504.2</v>
      </c>
      <c r="L17" s="167">
        <v>3504.2</v>
      </c>
      <c r="M17" s="167">
        <v>3504.2</v>
      </c>
      <c r="N17" s="167">
        <v>3504.2</v>
      </c>
    </row>
    <row r="18" spans="1:14" x14ac:dyDescent="0.25">
      <c r="B18" s="139" t="s">
        <v>148</v>
      </c>
      <c r="C18" s="154">
        <f t="shared" si="3"/>
        <v>112914.90000000002</v>
      </c>
      <c r="D18" s="73"/>
      <c r="E18" s="75"/>
      <c r="F18" s="164">
        <v>12546.1</v>
      </c>
      <c r="G18" s="146">
        <v>12546.1</v>
      </c>
      <c r="H18" s="146">
        <v>12546.1</v>
      </c>
      <c r="I18" s="146">
        <v>12546.1</v>
      </c>
      <c r="J18" s="146">
        <v>12546.1</v>
      </c>
      <c r="K18" s="146">
        <v>12546.1</v>
      </c>
      <c r="L18" s="146">
        <v>12546.1</v>
      </c>
      <c r="M18" s="146">
        <v>12546.1</v>
      </c>
      <c r="N18" s="146">
        <v>12546.1</v>
      </c>
    </row>
    <row r="19" spans="1:14" x14ac:dyDescent="0.25">
      <c r="B19" s="139" t="s">
        <v>149</v>
      </c>
      <c r="C19" s="154">
        <f t="shared" si="3"/>
        <v>94406.400000000009</v>
      </c>
      <c r="D19" s="73"/>
      <c r="E19" s="75"/>
      <c r="F19" s="164">
        <v>10489.6</v>
      </c>
      <c r="G19" s="146">
        <v>10489.6</v>
      </c>
      <c r="H19" s="146">
        <v>10489.6</v>
      </c>
      <c r="I19" s="146">
        <v>10489.6</v>
      </c>
      <c r="J19" s="146">
        <v>10489.6</v>
      </c>
      <c r="K19" s="146">
        <v>10489.6</v>
      </c>
      <c r="L19" s="146">
        <v>10489.6</v>
      </c>
      <c r="M19" s="146">
        <v>10489.6</v>
      </c>
      <c r="N19" s="146">
        <v>10489.6</v>
      </c>
    </row>
    <row r="20" spans="1:14" x14ac:dyDescent="0.25">
      <c r="B20" s="139" t="s">
        <v>150</v>
      </c>
      <c r="C20" s="154">
        <f t="shared" si="3"/>
        <v>21264.300000000003</v>
      </c>
      <c r="D20" s="73"/>
      <c r="E20" s="75"/>
      <c r="F20" s="164">
        <v>2362.6999999999998</v>
      </c>
      <c r="G20" s="146">
        <v>2362.6999999999998</v>
      </c>
      <c r="H20" s="146">
        <v>2362.6999999999998</v>
      </c>
      <c r="I20" s="146">
        <v>2362.6999999999998</v>
      </c>
      <c r="J20" s="146">
        <v>2362.6999999999998</v>
      </c>
      <c r="K20" s="146">
        <v>2362.6999999999998</v>
      </c>
      <c r="L20" s="146">
        <v>2362.6999999999998</v>
      </c>
      <c r="M20" s="146">
        <v>2362.6999999999998</v>
      </c>
      <c r="N20" s="146">
        <v>2362.6999999999998</v>
      </c>
    </row>
    <row r="21" spans="1:14" x14ac:dyDescent="0.25">
      <c r="B21" s="139" t="s">
        <v>151</v>
      </c>
      <c r="C21" s="154">
        <f t="shared" si="3"/>
        <v>57276.899999999994</v>
      </c>
      <c r="D21" s="66"/>
      <c r="E21" s="66"/>
      <c r="F21" s="164">
        <v>6364.1</v>
      </c>
      <c r="G21" s="146">
        <v>6364.1</v>
      </c>
      <c r="H21" s="146">
        <v>6364.1</v>
      </c>
      <c r="I21" s="146">
        <v>6364.1</v>
      </c>
      <c r="J21" s="146">
        <v>6364.1</v>
      </c>
      <c r="K21" s="146">
        <v>6364.1</v>
      </c>
      <c r="L21" s="146">
        <v>6364.1</v>
      </c>
      <c r="M21" s="146">
        <v>6364.1</v>
      </c>
      <c r="N21" s="146">
        <v>6364.1</v>
      </c>
    </row>
    <row r="22" spans="1:14" ht="19.5" customHeight="1" x14ac:dyDescent="0.25">
      <c r="B22" s="139" t="s">
        <v>152</v>
      </c>
      <c r="C22" s="154">
        <f t="shared" si="3"/>
        <v>44952.299999999996</v>
      </c>
      <c r="D22" s="180"/>
      <c r="E22" s="181"/>
      <c r="F22" s="164">
        <v>4994.7</v>
      </c>
      <c r="G22" s="146">
        <v>4994.7</v>
      </c>
      <c r="H22" s="146">
        <v>4994.7</v>
      </c>
      <c r="I22" s="146">
        <v>4994.7</v>
      </c>
      <c r="J22" s="146">
        <v>4994.7</v>
      </c>
      <c r="K22" s="146">
        <v>4994.7</v>
      </c>
      <c r="L22" s="146">
        <v>4994.7</v>
      </c>
      <c r="M22" s="146">
        <v>4994.7</v>
      </c>
      <c r="N22" s="146">
        <v>4994.7</v>
      </c>
    </row>
    <row r="23" spans="1:14" x14ac:dyDescent="0.25">
      <c r="B23" s="139" t="s">
        <v>153</v>
      </c>
      <c r="C23" s="154">
        <f t="shared" si="3"/>
        <v>34836.300000000003</v>
      </c>
      <c r="D23" s="73"/>
      <c r="E23" s="75"/>
      <c r="F23" s="164">
        <v>3870.7</v>
      </c>
      <c r="G23" s="146">
        <v>3870.7</v>
      </c>
      <c r="H23" s="146">
        <v>3870.7</v>
      </c>
      <c r="I23" s="146">
        <v>3870.7</v>
      </c>
      <c r="J23" s="146">
        <v>3870.7</v>
      </c>
      <c r="K23" s="146">
        <v>3870.7</v>
      </c>
      <c r="L23" s="146">
        <v>3870.7</v>
      </c>
      <c r="M23" s="146">
        <v>3870.7</v>
      </c>
      <c r="N23" s="146">
        <v>3870.7</v>
      </c>
    </row>
    <row r="24" spans="1:14" x14ac:dyDescent="0.25">
      <c r="B24" s="139" t="s">
        <v>154</v>
      </c>
      <c r="C24" s="154">
        <f t="shared" si="3"/>
        <v>28311.300000000003</v>
      </c>
      <c r="D24" s="73"/>
      <c r="E24" s="75"/>
      <c r="F24" s="164">
        <v>3145.7</v>
      </c>
      <c r="G24" s="146">
        <v>3145.7</v>
      </c>
      <c r="H24" s="146">
        <v>3145.7</v>
      </c>
      <c r="I24" s="146">
        <v>3145.7</v>
      </c>
      <c r="J24" s="146">
        <v>3145.7</v>
      </c>
      <c r="K24" s="146">
        <v>3145.7</v>
      </c>
      <c r="L24" s="146">
        <v>3145.7</v>
      </c>
      <c r="M24" s="146">
        <v>3145.7</v>
      </c>
      <c r="N24" s="146">
        <v>3145.7</v>
      </c>
    </row>
    <row r="25" spans="1:14" x14ac:dyDescent="0.25">
      <c r="B25" s="139" t="s">
        <v>155</v>
      </c>
      <c r="C25" s="154">
        <f t="shared" si="3"/>
        <v>4427.1000000000004</v>
      </c>
      <c r="D25" s="73"/>
      <c r="E25" s="73"/>
      <c r="F25" s="164">
        <v>491.9</v>
      </c>
      <c r="G25" s="146">
        <v>491.9</v>
      </c>
      <c r="H25" s="146">
        <v>491.9</v>
      </c>
      <c r="I25" s="146">
        <v>491.9</v>
      </c>
      <c r="J25" s="146">
        <v>491.9</v>
      </c>
      <c r="K25" s="146">
        <v>491.9</v>
      </c>
      <c r="L25" s="146">
        <v>491.9</v>
      </c>
      <c r="M25" s="146">
        <v>491.9</v>
      </c>
      <c r="N25" s="146">
        <v>491.9</v>
      </c>
    </row>
    <row r="26" spans="1:14" x14ac:dyDescent="0.25">
      <c r="B26" s="139" t="s">
        <v>156</v>
      </c>
      <c r="C26" s="154">
        <f t="shared" si="3"/>
        <v>53343</v>
      </c>
      <c r="D26" s="73"/>
      <c r="E26" s="75"/>
      <c r="F26" s="164">
        <v>5927</v>
      </c>
      <c r="G26" s="146">
        <v>5927</v>
      </c>
      <c r="H26" s="146">
        <v>5927</v>
      </c>
      <c r="I26" s="146">
        <v>5927</v>
      </c>
      <c r="J26" s="146">
        <v>5927</v>
      </c>
      <c r="K26" s="146">
        <v>5927</v>
      </c>
      <c r="L26" s="146">
        <v>5927</v>
      </c>
      <c r="M26" s="146">
        <v>5927</v>
      </c>
      <c r="N26" s="146">
        <v>5927</v>
      </c>
    </row>
    <row r="27" spans="1:14" ht="15" customHeight="1" x14ac:dyDescent="0.25">
      <c r="B27" s="139" t="s">
        <v>157</v>
      </c>
      <c r="C27" s="154">
        <f t="shared" si="3"/>
        <v>14185.800000000003</v>
      </c>
      <c r="D27" s="73"/>
      <c r="E27" s="75"/>
      <c r="F27" s="164">
        <v>1576.2</v>
      </c>
      <c r="G27" s="146">
        <v>1576.2</v>
      </c>
      <c r="H27" s="146">
        <v>1576.2</v>
      </c>
      <c r="I27" s="146">
        <v>1576.2</v>
      </c>
      <c r="J27" s="146">
        <v>1576.2</v>
      </c>
      <c r="K27" s="146">
        <v>1576.2</v>
      </c>
      <c r="L27" s="146">
        <v>1576.2</v>
      </c>
      <c r="M27" s="146">
        <v>1576.2</v>
      </c>
      <c r="N27" s="146">
        <v>1576.2</v>
      </c>
    </row>
    <row r="28" spans="1:14" x14ac:dyDescent="0.25">
      <c r="B28" s="139" t="s">
        <v>158</v>
      </c>
      <c r="C28" s="154">
        <f t="shared" si="3"/>
        <v>17703.900000000001</v>
      </c>
      <c r="D28" s="73"/>
      <c r="E28" s="75"/>
      <c r="F28" s="164">
        <v>1967.1</v>
      </c>
      <c r="G28" s="146">
        <v>1967.1</v>
      </c>
      <c r="H28" s="146">
        <v>1967.1</v>
      </c>
      <c r="I28" s="146">
        <v>1967.1</v>
      </c>
      <c r="J28" s="146">
        <v>1967.1</v>
      </c>
      <c r="K28" s="146">
        <v>1967.1</v>
      </c>
      <c r="L28" s="146">
        <v>1967.1</v>
      </c>
      <c r="M28" s="146">
        <v>1967.1</v>
      </c>
      <c r="N28" s="146">
        <v>1967.1</v>
      </c>
    </row>
    <row r="29" spans="1:14" s="5" customFormat="1" ht="28.5" customHeight="1" x14ac:dyDescent="0.25">
      <c r="B29" s="139" t="s">
        <v>159</v>
      </c>
      <c r="C29" s="154">
        <f t="shared" si="3"/>
        <v>26929.800000000003</v>
      </c>
      <c r="D29" s="80"/>
      <c r="E29" s="81"/>
      <c r="F29" s="164">
        <v>2992.2</v>
      </c>
      <c r="G29" s="168">
        <v>2992.2</v>
      </c>
      <c r="H29" s="168">
        <v>2992.2</v>
      </c>
      <c r="I29" s="168">
        <v>2992.2</v>
      </c>
      <c r="J29" s="168">
        <v>2992.2</v>
      </c>
      <c r="K29" s="168">
        <v>2992.2</v>
      </c>
      <c r="L29" s="168">
        <v>2992.2</v>
      </c>
      <c r="M29" s="168">
        <v>2992.2</v>
      </c>
      <c r="N29" s="168">
        <v>2992.2</v>
      </c>
    </row>
    <row r="30" spans="1:14" x14ac:dyDescent="0.25">
      <c r="B30" s="188" t="s">
        <v>160</v>
      </c>
      <c r="C30" s="154">
        <f t="shared" si="3"/>
        <v>24796.800000000003</v>
      </c>
      <c r="D30" s="189"/>
      <c r="E30" s="190"/>
      <c r="F30" s="191">
        <v>2755.2</v>
      </c>
      <c r="G30" s="189">
        <v>2755.2</v>
      </c>
      <c r="H30" s="189">
        <v>2755.2</v>
      </c>
      <c r="I30" s="189">
        <v>2755.2</v>
      </c>
      <c r="J30" s="189">
        <v>2755.2</v>
      </c>
      <c r="K30" s="189">
        <v>2755.2</v>
      </c>
      <c r="L30" s="189">
        <v>2755.2</v>
      </c>
      <c r="M30" s="189">
        <v>2755.2</v>
      </c>
      <c r="N30" s="189">
        <v>2755.2</v>
      </c>
    </row>
    <row r="31" spans="1:14" x14ac:dyDescent="0.25">
      <c r="A31" s="200"/>
      <c r="B31" s="201"/>
      <c r="C31" s="201"/>
      <c r="D31" s="187"/>
      <c r="E31" s="202"/>
      <c r="F31" s="203"/>
      <c r="G31" s="187"/>
      <c r="H31" s="187"/>
      <c r="I31" s="187"/>
      <c r="J31" s="187"/>
      <c r="K31" s="187"/>
      <c r="L31" s="187"/>
    </row>
    <row r="32" spans="1:14" x14ac:dyDescent="0.25">
      <c r="A32" s="200"/>
      <c r="B32" s="201"/>
      <c r="C32" s="201"/>
      <c r="D32" s="187"/>
      <c r="E32" s="202"/>
      <c r="F32" s="203"/>
      <c r="G32" s="187"/>
      <c r="H32" s="187"/>
      <c r="I32" s="187"/>
      <c r="J32" s="187"/>
      <c r="K32" s="187"/>
      <c r="L32" s="187"/>
    </row>
    <row r="33" spans="1:13" x14ac:dyDescent="0.25">
      <c r="A33" s="200"/>
      <c r="B33" s="201"/>
      <c r="C33" s="201"/>
      <c r="D33" s="187"/>
      <c r="E33" s="202"/>
      <c r="F33" s="203"/>
      <c r="G33" s="184" t="s">
        <v>176</v>
      </c>
      <c r="H33" s="185">
        <f>F37+G37+H37+I37+J37+K37+L37+M37</f>
        <v>18966362.690000005</v>
      </c>
      <c r="I33" s="187"/>
      <c r="J33" s="187"/>
      <c r="K33" s="187"/>
      <c r="L33" s="187"/>
    </row>
    <row r="34" spans="1:13" x14ac:dyDescent="0.25">
      <c r="A34" s="200"/>
      <c r="B34" s="201"/>
      <c r="C34" s="201"/>
      <c r="D34" s="187"/>
      <c r="E34" s="202"/>
      <c r="F34" s="203"/>
      <c r="G34" s="186" t="s">
        <v>177</v>
      </c>
      <c r="H34" s="186"/>
      <c r="I34" s="187"/>
      <c r="J34" s="187"/>
      <c r="K34" s="187"/>
      <c r="L34" s="187"/>
    </row>
    <row r="35" spans="1:13" ht="33.6" customHeight="1" x14ac:dyDescent="0.2">
      <c r="B35" s="192" t="s">
        <v>161</v>
      </c>
      <c r="C35" s="193"/>
      <c r="D35" s="194"/>
      <c r="E35" s="195"/>
      <c r="F35" s="196" t="s">
        <v>6</v>
      </c>
      <c r="G35" s="197" t="s">
        <v>7</v>
      </c>
      <c r="H35" s="198" t="s">
        <v>8</v>
      </c>
      <c r="I35" s="199" t="s">
        <v>9</v>
      </c>
      <c r="J35" s="199" t="s">
        <v>10</v>
      </c>
      <c r="K35" s="199" t="s">
        <v>86</v>
      </c>
      <c r="L35" s="234" t="s">
        <v>173</v>
      </c>
      <c r="M35" s="234" t="s">
        <v>205</v>
      </c>
    </row>
    <row r="36" spans="1:13" ht="38.25" x14ac:dyDescent="0.2">
      <c r="B36" s="142"/>
      <c r="C36" s="152"/>
      <c r="D36" s="146"/>
      <c r="E36" s="18"/>
      <c r="F36" s="162" t="s">
        <v>162</v>
      </c>
      <c r="G36" s="162" t="s">
        <v>162</v>
      </c>
      <c r="H36" s="162" t="s">
        <v>162</v>
      </c>
      <c r="I36" s="162" t="s">
        <v>174</v>
      </c>
      <c r="J36" s="162" t="s">
        <v>174</v>
      </c>
      <c r="K36" s="162" t="s">
        <v>174</v>
      </c>
      <c r="L36" s="162" t="s">
        <v>208</v>
      </c>
      <c r="M36" s="162" t="s">
        <v>240</v>
      </c>
    </row>
    <row r="37" spans="1:13" s="22" customFormat="1" ht="14.25" x14ac:dyDescent="0.2">
      <c r="B37" s="142" t="s">
        <v>1</v>
      </c>
      <c r="C37" s="153">
        <f>SUM(C38:C65)</f>
        <v>18966362.690000005</v>
      </c>
      <c r="D37" s="153">
        <f t="shared" ref="D37:K37" si="4">SUM(D38:D65)</f>
        <v>0</v>
      </c>
      <c r="E37" s="153">
        <f t="shared" si="4"/>
        <v>0</v>
      </c>
      <c r="F37" s="153">
        <f t="shared" si="4"/>
        <v>1385756.6199999987</v>
      </c>
      <c r="G37" s="153">
        <f t="shared" si="4"/>
        <v>2341246.649999999</v>
      </c>
      <c r="H37" s="153">
        <f t="shared" si="4"/>
        <v>2570959.7800000072</v>
      </c>
      <c r="I37" s="153">
        <f t="shared" si="4"/>
        <v>2486340.7899999991</v>
      </c>
      <c r="J37" s="153">
        <f t="shared" si="4"/>
        <v>2346956.1300000004</v>
      </c>
      <c r="K37" s="153">
        <f t="shared" si="4"/>
        <v>2264363.14</v>
      </c>
      <c r="L37" s="153">
        <f t="shared" ref="L37:M37" si="5">SUM(L38:L65)</f>
        <v>2300245.2299999995</v>
      </c>
      <c r="M37" s="153">
        <f t="shared" si="5"/>
        <v>3270494.3500000006</v>
      </c>
    </row>
    <row r="38" spans="1:13" x14ac:dyDescent="0.25">
      <c r="B38" s="139" t="s">
        <v>136</v>
      </c>
      <c r="C38" s="155">
        <f>SUM(D38:M38)</f>
        <v>4596014.3200000012</v>
      </c>
      <c r="D38" s="146"/>
      <c r="E38" s="18"/>
      <c r="F38" s="146">
        <v>388762.70999999979</v>
      </c>
      <c r="G38" s="146">
        <v>604604.45000000135</v>
      </c>
      <c r="H38" s="165">
        <v>563993.08000000007</v>
      </c>
      <c r="I38" s="165">
        <v>570385.52</v>
      </c>
      <c r="J38" s="165">
        <v>617133.80000000005</v>
      </c>
      <c r="K38" s="146">
        <v>538530.29</v>
      </c>
      <c r="L38" s="146">
        <v>556201.46</v>
      </c>
      <c r="M38" s="146">
        <v>756403.01</v>
      </c>
    </row>
    <row r="39" spans="1:13" x14ac:dyDescent="0.25">
      <c r="B39" s="139" t="s">
        <v>137</v>
      </c>
      <c r="C39" s="155">
        <f t="shared" ref="C39:C65" si="6">SUM(D39:M39)</f>
        <v>7157333.1700000046</v>
      </c>
      <c r="D39" s="146"/>
      <c r="E39" s="18"/>
      <c r="F39" s="146">
        <v>584810.6899999989</v>
      </c>
      <c r="G39" s="146">
        <v>903010.64999999769</v>
      </c>
      <c r="H39" s="165">
        <v>934367.78000000725</v>
      </c>
      <c r="I39" s="165">
        <v>928250.38</v>
      </c>
      <c r="J39" s="165">
        <v>836017.07000000007</v>
      </c>
      <c r="K39" s="146">
        <v>966892.94000000006</v>
      </c>
      <c r="L39" s="146">
        <v>884906.44</v>
      </c>
      <c r="M39" s="146">
        <v>1119077.22</v>
      </c>
    </row>
    <row r="40" spans="1:13" x14ac:dyDescent="0.25">
      <c r="B40" s="139" t="s">
        <v>164</v>
      </c>
      <c r="C40" s="155">
        <f t="shared" si="6"/>
        <v>599827.23</v>
      </c>
      <c r="D40" s="146"/>
      <c r="E40" s="18"/>
      <c r="F40" s="146">
        <v>9764.5400000000009</v>
      </c>
      <c r="G40" s="146">
        <v>63635.78</v>
      </c>
      <c r="H40" s="165">
        <v>90110.850000000108</v>
      </c>
      <c r="I40" s="165">
        <v>78123.539999999994</v>
      </c>
      <c r="J40" s="165">
        <v>72792.94</v>
      </c>
      <c r="K40" s="146">
        <v>103903.28</v>
      </c>
      <c r="L40" s="146">
        <v>57250.92</v>
      </c>
      <c r="M40" s="146">
        <v>124245.38</v>
      </c>
    </row>
    <row r="41" spans="1:13" x14ac:dyDescent="0.25">
      <c r="B41" s="139" t="s">
        <v>138</v>
      </c>
      <c r="C41" s="155">
        <f t="shared" si="6"/>
        <v>669102.41999999981</v>
      </c>
      <c r="D41" s="146"/>
      <c r="E41" s="18"/>
      <c r="F41" s="146">
        <v>32696.400000000005</v>
      </c>
      <c r="G41" s="146">
        <v>89872.839999999967</v>
      </c>
      <c r="H41" s="165">
        <v>79998.779999999839</v>
      </c>
      <c r="I41" s="165">
        <v>92407.64</v>
      </c>
      <c r="J41" s="165">
        <v>82200.260000000009</v>
      </c>
      <c r="K41" s="146">
        <v>88012.41</v>
      </c>
      <c r="L41" s="146">
        <v>73526.59</v>
      </c>
      <c r="M41" s="146">
        <v>130387.5</v>
      </c>
    </row>
    <row r="42" spans="1:13" x14ac:dyDescent="0.25">
      <c r="B42" s="139" t="s">
        <v>139</v>
      </c>
      <c r="C42" s="155">
        <f t="shared" si="6"/>
        <v>1143447.1299999999</v>
      </c>
      <c r="D42" s="146"/>
      <c r="E42" s="18"/>
      <c r="F42" s="146">
        <v>91084.59</v>
      </c>
      <c r="G42" s="146">
        <v>159842.17000000013</v>
      </c>
      <c r="H42" s="165">
        <v>136653.70999999979</v>
      </c>
      <c r="I42" s="165">
        <v>109420.65</v>
      </c>
      <c r="J42" s="165">
        <v>137937.75</v>
      </c>
      <c r="K42" s="146">
        <v>56195.34</v>
      </c>
      <c r="L42" s="146">
        <v>157210.5</v>
      </c>
      <c r="M42" s="146">
        <v>295102.42</v>
      </c>
    </row>
    <row r="43" spans="1:13" x14ac:dyDescent="0.25">
      <c r="B43" s="139" t="s">
        <v>140</v>
      </c>
      <c r="C43" s="155">
        <f t="shared" si="6"/>
        <v>412249.9099999998</v>
      </c>
      <c r="D43" s="146"/>
      <c r="E43" s="18"/>
      <c r="F43" s="146">
        <v>34907.710000000014</v>
      </c>
      <c r="G43" s="146">
        <v>48563.599999999969</v>
      </c>
      <c r="H43" s="165">
        <v>47062.589999999836</v>
      </c>
      <c r="I43" s="165">
        <v>60633.17</v>
      </c>
      <c r="J43" s="165">
        <v>35091.42</v>
      </c>
      <c r="K43" s="146">
        <v>39490.69</v>
      </c>
      <c r="L43" s="146">
        <v>71479.98</v>
      </c>
      <c r="M43" s="146">
        <v>75020.75</v>
      </c>
    </row>
    <row r="44" spans="1:13" x14ac:dyDescent="0.25">
      <c r="B44" s="139" t="s">
        <v>141</v>
      </c>
      <c r="C44" s="155">
        <f t="shared" si="6"/>
        <v>425464.82999999984</v>
      </c>
      <c r="D44" s="146"/>
      <c r="E44" s="18"/>
      <c r="F44" s="146">
        <v>24985.439999999995</v>
      </c>
      <c r="G44" s="146">
        <v>41026.27000000004</v>
      </c>
      <c r="H44" s="165">
        <v>87327.829999999769</v>
      </c>
      <c r="I44" s="165">
        <v>44831.9</v>
      </c>
      <c r="J44" s="165">
        <v>33957.5</v>
      </c>
      <c r="K44" s="146">
        <v>68630.98000000001</v>
      </c>
      <c r="L44" s="146">
        <v>53178.32</v>
      </c>
      <c r="M44" s="146">
        <v>71526.59</v>
      </c>
    </row>
    <row r="45" spans="1:13" x14ac:dyDescent="0.25">
      <c r="B45" s="139" t="s">
        <v>142</v>
      </c>
      <c r="C45" s="155">
        <f t="shared" si="6"/>
        <v>384784.98999999993</v>
      </c>
      <c r="D45" s="146"/>
      <c r="E45" s="18"/>
      <c r="F45" s="146">
        <v>16351.019999999995</v>
      </c>
      <c r="G45" s="146">
        <v>66946.730000000025</v>
      </c>
      <c r="H45" s="165">
        <v>58630.709999999948</v>
      </c>
      <c r="I45" s="165">
        <v>53929.37</v>
      </c>
      <c r="J45" s="165">
        <v>59554.11</v>
      </c>
      <c r="K45" s="146">
        <v>25124.880000000001</v>
      </c>
      <c r="L45" s="146">
        <v>39712.43</v>
      </c>
      <c r="M45" s="146">
        <v>64535.74</v>
      </c>
    </row>
    <row r="46" spans="1:13" x14ac:dyDescent="0.25">
      <c r="B46" s="139" t="s">
        <v>143</v>
      </c>
      <c r="C46" s="155">
        <f t="shared" si="6"/>
        <v>529981.86</v>
      </c>
      <c r="D46" s="146"/>
      <c r="E46" s="18"/>
      <c r="F46" s="146"/>
      <c r="G46" s="146">
        <v>1692.7</v>
      </c>
      <c r="H46" s="165">
        <v>60461.030000000021</v>
      </c>
      <c r="I46" s="165">
        <v>103539.78</v>
      </c>
      <c r="J46" s="165">
        <v>72970.42</v>
      </c>
      <c r="K46" s="146">
        <v>42593.37</v>
      </c>
      <c r="L46" s="146">
        <v>62303.93</v>
      </c>
      <c r="M46" s="146">
        <v>186420.63</v>
      </c>
    </row>
    <row r="47" spans="1:13" x14ac:dyDescent="0.25">
      <c r="B47" s="139" t="s">
        <v>144</v>
      </c>
      <c r="C47" s="155">
        <f t="shared" si="6"/>
        <v>584745.87</v>
      </c>
      <c r="D47" s="146"/>
      <c r="E47" s="18"/>
      <c r="F47" s="146"/>
      <c r="G47" s="146">
        <v>57668.740000000013</v>
      </c>
      <c r="H47" s="165">
        <v>155707.40999999995</v>
      </c>
      <c r="I47" s="165">
        <v>89660.19</v>
      </c>
      <c r="J47" s="165">
        <v>80191.23000000001</v>
      </c>
      <c r="K47" s="171">
        <v>53422.060000000005</v>
      </c>
      <c r="L47" s="146">
        <v>72877.34</v>
      </c>
      <c r="M47" s="146">
        <v>75218.899999999994</v>
      </c>
    </row>
    <row r="48" spans="1:13" x14ac:dyDescent="0.25">
      <c r="B48" s="139" t="s">
        <v>145</v>
      </c>
      <c r="C48" s="155">
        <f t="shared" si="6"/>
        <v>245052.84000000003</v>
      </c>
      <c r="D48" s="146"/>
      <c r="E48" s="18"/>
      <c r="F48" s="166">
        <v>27760.28000000001</v>
      </c>
      <c r="G48" s="166">
        <v>27676.720000000027</v>
      </c>
      <c r="H48" s="166">
        <v>26406.119999999959</v>
      </c>
      <c r="I48" s="165">
        <v>32988.910000000003</v>
      </c>
      <c r="J48" s="165">
        <v>32077.72</v>
      </c>
      <c r="K48" s="146">
        <v>25369.610000000004</v>
      </c>
      <c r="L48" s="146">
        <v>36562.32</v>
      </c>
      <c r="M48" s="146">
        <v>36211.160000000003</v>
      </c>
    </row>
    <row r="49" spans="2:13" x14ac:dyDescent="0.25">
      <c r="B49" s="139" t="s">
        <v>146</v>
      </c>
      <c r="C49" s="155">
        <f t="shared" si="6"/>
        <v>173822.92000000004</v>
      </c>
      <c r="D49" s="146"/>
      <c r="E49" s="18"/>
      <c r="F49" s="146">
        <v>11171.820000000002</v>
      </c>
      <c r="G49" s="146">
        <v>11510.360000000006</v>
      </c>
      <c r="H49" s="165">
        <v>19973.860000000022</v>
      </c>
      <c r="I49" s="165">
        <v>20312.400000000001</v>
      </c>
      <c r="J49" s="165">
        <v>49426.840000000004</v>
      </c>
      <c r="K49" s="170">
        <v>25390.5</v>
      </c>
      <c r="L49" s="170">
        <v>0</v>
      </c>
      <c r="M49" s="170">
        <v>36037.14</v>
      </c>
    </row>
    <row r="50" spans="2:13" x14ac:dyDescent="0.25">
      <c r="B50" s="139" t="s">
        <v>147</v>
      </c>
      <c r="C50" s="155">
        <f t="shared" si="6"/>
        <v>139638.39999999999</v>
      </c>
      <c r="D50" s="146"/>
      <c r="E50" s="18"/>
      <c r="F50" s="146">
        <v>4741.46</v>
      </c>
      <c r="G50" s="146">
        <v>5006.9000000000005</v>
      </c>
      <c r="H50" s="165">
        <v>11900.739999999998</v>
      </c>
      <c r="I50" s="165">
        <v>51830.879999999997</v>
      </c>
      <c r="J50" s="165">
        <v>3450.7200000000003</v>
      </c>
      <c r="K50" s="146">
        <v>24385.02</v>
      </c>
      <c r="L50" s="146">
        <v>9882.98</v>
      </c>
      <c r="M50" s="146">
        <v>28439.7</v>
      </c>
    </row>
    <row r="51" spans="2:13" x14ac:dyDescent="0.25">
      <c r="B51" s="139" t="s">
        <v>148</v>
      </c>
      <c r="C51" s="155">
        <f t="shared" si="6"/>
        <v>34374.479999999989</v>
      </c>
      <c r="D51" s="146"/>
      <c r="E51" s="18"/>
      <c r="F51" s="146">
        <v>2212</v>
      </c>
      <c r="G51" s="146">
        <v>4733.6799999999976</v>
      </c>
      <c r="H51" s="165">
        <v>5706.9599999999964</v>
      </c>
      <c r="I51" s="165">
        <v>5353.04</v>
      </c>
      <c r="J51" s="165">
        <v>3096.8</v>
      </c>
      <c r="K51" s="146">
        <v>5618.4800000000005</v>
      </c>
      <c r="L51" s="146">
        <v>2477.44</v>
      </c>
      <c r="M51" s="146">
        <v>5176.08</v>
      </c>
    </row>
    <row r="52" spans="2:13" x14ac:dyDescent="0.25">
      <c r="B52" s="139" t="s">
        <v>149</v>
      </c>
      <c r="C52" s="155">
        <f t="shared" si="6"/>
        <v>224752.70000000004</v>
      </c>
      <c r="D52" s="146"/>
      <c r="E52" s="18"/>
      <c r="F52" s="166">
        <v>13177.82</v>
      </c>
      <c r="G52" s="166">
        <v>15911.380000000008</v>
      </c>
      <c r="H52" s="166">
        <v>33841.380000000019</v>
      </c>
      <c r="I52" s="169">
        <v>38932.100000000006</v>
      </c>
      <c r="J52" s="165">
        <v>23020.720000000001</v>
      </c>
      <c r="K52" s="146">
        <v>24036.34</v>
      </c>
      <c r="L52" s="146">
        <v>40624.800000000003</v>
      </c>
      <c r="M52" s="146">
        <v>35208.160000000003</v>
      </c>
    </row>
    <row r="53" spans="2:13" x14ac:dyDescent="0.25">
      <c r="B53" s="139" t="s">
        <v>150</v>
      </c>
      <c r="C53" s="155">
        <f t="shared" si="6"/>
        <v>284154.12</v>
      </c>
      <c r="D53" s="146"/>
      <c r="E53" s="18"/>
      <c r="F53" s="146">
        <v>35610.12000000001</v>
      </c>
      <c r="G53" s="146">
        <v>36377.580000000016</v>
      </c>
      <c r="H53" s="165">
        <v>31855.419999999911</v>
      </c>
      <c r="I53" s="165">
        <v>41567.32</v>
      </c>
      <c r="J53" s="165">
        <v>38299.26</v>
      </c>
      <c r="K53" s="170">
        <v>36562.32</v>
      </c>
      <c r="L53" s="170">
        <v>34531.08</v>
      </c>
      <c r="M53" s="170">
        <v>29351.02</v>
      </c>
    </row>
    <row r="54" spans="2:13" x14ac:dyDescent="0.25">
      <c r="B54" s="139" t="s">
        <v>151</v>
      </c>
      <c r="C54" s="155">
        <f t="shared" si="6"/>
        <v>97649.520000000019</v>
      </c>
      <c r="D54" s="146"/>
      <c r="E54" s="18"/>
      <c r="F54" s="146">
        <v>1415.68</v>
      </c>
      <c r="G54" s="146">
        <v>27848.760000000006</v>
      </c>
      <c r="H54" s="165">
        <v>5755.1800000000039</v>
      </c>
      <c r="I54" s="165">
        <v>8463.5</v>
      </c>
      <c r="J54" s="165">
        <v>18281.16</v>
      </c>
      <c r="K54" s="146">
        <v>14895.76</v>
      </c>
      <c r="L54" s="146">
        <v>9817.66</v>
      </c>
      <c r="M54" s="146">
        <v>11171.82</v>
      </c>
    </row>
    <row r="55" spans="2:13" x14ac:dyDescent="0.25">
      <c r="B55" s="139" t="s">
        <v>152</v>
      </c>
      <c r="C55" s="155">
        <f t="shared" si="6"/>
        <v>108421.28000000006</v>
      </c>
      <c r="D55" s="146"/>
      <c r="E55" s="18"/>
      <c r="F55" s="146">
        <v>9906.14</v>
      </c>
      <c r="G55" s="146">
        <v>19635.320000000029</v>
      </c>
      <c r="H55" s="165">
        <v>12864.52000000004</v>
      </c>
      <c r="I55" s="165">
        <v>13541.6</v>
      </c>
      <c r="J55" s="165">
        <v>19973.86</v>
      </c>
      <c r="K55" s="170">
        <v>15234.300000000001</v>
      </c>
      <c r="L55" s="170">
        <v>8802.0400000000009</v>
      </c>
      <c r="M55" s="170">
        <v>8463.5</v>
      </c>
    </row>
    <row r="56" spans="2:13" x14ac:dyDescent="0.25">
      <c r="B56" s="139" t="s">
        <v>153</v>
      </c>
      <c r="C56" s="155">
        <f t="shared" si="6"/>
        <v>3096.8</v>
      </c>
      <c r="D56" s="146"/>
      <c r="E56" s="18"/>
      <c r="F56" s="146">
        <v>265.44</v>
      </c>
      <c r="G56" s="146">
        <v>796.31999999999994</v>
      </c>
      <c r="H56" s="165">
        <v>353.92000000000007</v>
      </c>
      <c r="I56" s="165">
        <v>398.16</v>
      </c>
      <c r="J56" s="165">
        <v>486.64000000000004</v>
      </c>
      <c r="K56" s="146"/>
      <c r="L56" s="146">
        <v>619.36</v>
      </c>
      <c r="M56" s="146">
        <v>176.96</v>
      </c>
    </row>
    <row r="57" spans="2:13" x14ac:dyDescent="0.25">
      <c r="B57" s="139" t="s">
        <v>154</v>
      </c>
      <c r="C57" s="155">
        <f t="shared" si="6"/>
        <v>234288.66999999998</v>
      </c>
      <c r="D57" s="146"/>
      <c r="E57" s="18"/>
      <c r="F57" s="166">
        <v>19760.260000000002</v>
      </c>
      <c r="G57" s="166">
        <v>20048.869999999988</v>
      </c>
      <c r="H57" s="166">
        <v>56489.859999999971</v>
      </c>
      <c r="I57" s="165">
        <v>20614.3</v>
      </c>
      <c r="J57" s="165">
        <v>23213.58</v>
      </c>
      <c r="K57" s="146">
        <v>32511.24</v>
      </c>
      <c r="L57" s="146">
        <v>11869.98</v>
      </c>
      <c r="M57" s="146">
        <v>49780.58</v>
      </c>
    </row>
    <row r="58" spans="2:13" x14ac:dyDescent="0.25">
      <c r="B58" s="139" t="s">
        <v>155</v>
      </c>
      <c r="C58" s="155">
        <f t="shared" si="6"/>
        <v>131692.06000000006</v>
      </c>
      <c r="D58" s="146"/>
      <c r="E58" s="18"/>
      <c r="F58" s="146">
        <v>16927.000000000004</v>
      </c>
      <c r="G58" s="146">
        <v>24374.88000000003</v>
      </c>
      <c r="H58" s="165">
        <v>20989.480000000025</v>
      </c>
      <c r="I58" s="165">
        <v>19635.32</v>
      </c>
      <c r="J58" s="165">
        <v>11171.820000000002</v>
      </c>
      <c r="K58" s="146">
        <v>5416.64</v>
      </c>
      <c r="L58" s="146">
        <v>23359.26</v>
      </c>
      <c r="M58" s="146">
        <v>9817.66</v>
      </c>
    </row>
    <row r="59" spans="2:13" x14ac:dyDescent="0.25">
      <c r="B59" s="139" t="s">
        <v>167</v>
      </c>
      <c r="C59" s="155">
        <f t="shared" si="6"/>
        <v>321995.69000000018</v>
      </c>
      <c r="D59" s="146"/>
      <c r="E59" s="18"/>
      <c r="F59" s="146">
        <v>21889.239999999962</v>
      </c>
      <c r="G59" s="146">
        <v>36044.629999999946</v>
      </c>
      <c r="H59" s="165">
        <v>47215.620000000272</v>
      </c>
      <c r="I59" s="165">
        <v>33890.339999999997</v>
      </c>
      <c r="J59" s="165">
        <v>47064.42</v>
      </c>
      <c r="K59" s="146">
        <v>33761.360000000001</v>
      </c>
      <c r="L59" s="146">
        <v>41838</v>
      </c>
      <c r="M59" s="146">
        <v>60292.08</v>
      </c>
    </row>
    <row r="60" spans="2:13" x14ac:dyDescent="0.25">
      <c r="B60" s="139" t="s">
        <v>166</v>
      </c>
      <c r="C60" s="155">
        <f t="shared" si="6"/>
        <v>360255.20000000019</v>
      </c>
      <c r="D60" s="146"/>
      <c r="E60" s="18"/>
      <c r="F60" s="146">
        <v>24328.499999999996</v>
      </c>
      <c r="G60" s="146">
        <v>48492.68000000008</v>
      </c>
      <c r="H60" s="165">
        <v>56129.590000000098</v>
      </c>
      <c r="I60" s="165">
        <v>56305.34</v>
      </c>
      <c r="J60" s="165">
        <v>48882.49</v>
      </c>
      <c r="K60" s="146">
        <v>38385.33</v>
      </c>
      <c r="L60" s="146">
        <v>51212.4</v>
      </c>
      <c r="M60" s="146">
        <v>36518.870000000003</v>
      </c>
    </row>
    <row r="61" spans="2:13" x14ac:dyDescent="0.25">
      <c r="B61" s="139" t="s">
        <v>160</v>
      </c>
      <c r="C61" s="155">
        <f t="shared" si="6"/>
        <v>9600.0800000000017</v>
      </c>
      <c r="D61" s="146"/>
      <c r="E61" s="18"/>
      <c r="F61" s="146">
        <v>1194.48</v>
      </c>
      <c r="G61" s="146">
        <v>3716.1600000000003</v>
      </c>
      <c r="H61" s="165">
        <v>1504.1599999999999</v>
      </c>
      <c r="I61" s="169">
        <v>1061.76</v>
      </c>
      <c r="J61" s="165">
        <v>663.6</v>
      </c>
      <c r="K61" s="146"/>
      <c r="L61" s="146">
        <v>0</v>
      </c>
      <c r="M61" s="146">
        <v>1459.92</v>
      </c>
    </row>
    <row r="62" spans="2:13" x14ac:dyDescent="0.25">
      <c r="B62" s="139" t="s">
        <v>165</v>
      </c>
      <c r="C62" s="155">
        <f t="shared" si="6"/>
        <v>22252.719999999998</v>
      </c>
      <c r="D62" s="146"/>
      <c r="E62" s="18"/>
      <c r="F62" s="146"/>
      <c r="G62" s="146">
        <v>7653.5199999999977</v>
      </c>
      <c r="H62" s="165">
        <v>5751.2</v>
      </c>
      <c r="I62" s="165">
        <v>1681.12</v>
      </c>
      <c r="J62" s="165"/>
      <c r="K62" s="146"/>
      <c r="L62" s="146">
        <v>0</v>
      </c>
      <c r="M62" s="146">
        <v>7166.88</v>
      </c>
    </row>
    <row r="63" spans="2:13" x14ac:dyDescent="0.25">
      <c r="B63" s="139" t="s">
        <v>215</v>
      </c>
      <c r="C63" s="155">
        <f t="shared" si="6"/>
        <v>2950.92</v>
      </c>
      <c r="D63" s="146"/>
      <c r="E63" s="18"/>
      <c r="F63" s="146"/>
      <c r="G63" s="146"/>
      <c r="H63" s="165"/>
      <c r="I63" s="165"/>
      <c r="J63" s="165"/>
      <c r="K63" s="146"/>
      <c r="L63" s="146"/>
      <c r="M63" s="146">
        <v>2950.92</v>
      </c>
    </row>
    <row r="64" spans="2:13" x14ac:dyDescent="0.25">
      <c r="B64" s="139" t="s">
        <v>216</v>
      </c>
      <c r="C64" s="155">
        <f t="shared" si="6"/>
        <v>44.24</v>
      </c>
      <c r="D64" s="146"/>
      <c r="E64" s="18"/>
      <c r="F64" s="146"/>
      <c r="G64" s="146"/>
      <c r="H64" s="165"/>
      <c r="I64" s="165"/>
      <c r="J64" s="165"/>
      <c r="K64" s="146"/>
      <c r="L64" s="146"/>
      <c r="M64" s="146">
        <v>44.24</v>
      </c>
    </row>
    <row r="65" spans="2:13" x14ac:dyDescent="0.25">
      <c r="B65" s="158" t="s">
        <v>163</v>
      </c>
      <c r="C65" s="155">
        <f t="shared" si="6"/>
        <v>69368.320000000022</v>
      </c>
      <c r="D65" s="146"/>
      <c r="E65" s="18"/>
      <c r="F65" s="146">
        <v>12033.28</v>
      </c>
      <c r="G65" s="146">
        <v>14554.960000000001</v>
      </c>
      <c r="H65" s="165">
        <v>19908.000000000018</v>
      </c>
      <c r="I65" s="165">
        <v>8582.56</v>
      </c>
      <c r="J65" s="165"/>
      <c r="K65" s="146"/>
      <c r="L65" s="146">
        <v>0</v>
      </c>
      <c r="M65" s="146">
        <v>14289.52</v>
      </c>
    </row>
    <row r="66" spans="2:13" x14ac:dyDescent="0.25">
      <c r="B66" s="243"/>
    </row>
  </sheetData>
  <mergeCells count="1">
    <mergeCell ref="B2:E2"/>
  </mergeCells>
  <phoneticPr fontId="1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61C7-ACD3-494A-9E50-C233B2AAE51C}">
  <dimension ref="B1:G10"/>
  <sheetViews>
    <sheetView topLeftCell="B1" zoomScale="90" zoomScaleNormal="90" workbookViewId="0">
      <pane xSplit="1" ySplit="5" topLeftCell="C6" activePane="bottomRight" state="frozen"/>
      <selection activeCell="C30" sqref="C30"/>
      <selection pane="topRight" activeCell="C30" sqref="C30"/>
      <selection pane="bottomLeft" activeCell="C30" sqref="C30"/>
      <selection pane="bottomRight" activeCell="E14" sqref="E14"/>
    </sheetView>
  </sheetViews>
  <sheetFormatPr defaultColWidth="9.42578125" defaultRowHeight="15" x14ac:dyDescent="0.25"/>
  <cols>
    <col min="1" max="1" width="4.42578125" style="1" customWidth="1"/>
    <col min="2" max="2" width="51.140625" style="1" customWidth="1"/>
    <col min="3" max="3" width="17.42578125" style="1" customWidth="1"/>
    <col min="4" max="4" width="21.5703125" style="1" customWidth="1"/>
    <col min="5" max="7" width="17.28515625" style="1" customWidth="1"/>
    <col min="8" max="8" width="12.42578125" style="1" bestFit="1" customWidth="1"/>
    <col min="9" max="16384" width="9.42578125" style="1"/>
  </cols>
  <sheetData>
    <row r="1" spans="2:7" x14ac:dyDescent="0.25">
      <c r="B1" s="31" t="s">
        <v>234</v>
      </c>
      <c r="D1" s="184" t="s">
        <v>176</v>
      </c>
      <c r="E1" s="205">
        <f>D6+E6+F6</f>
        <v>899120.16000000015</v>
      </c>
    </row>
    <row r="2" spans="2:7" x14ac:dyDescent="0.25">
      <c r="B2" s="31"/>
      <c r="D2" s="184" t="s">
        <v>178</v>
      </c>
      <c r="E2" s="205">
        <f>G7+G8</f>
        <v>315437.95999999985</v>
      </c>
    </row>
    <row r="3" spans="2:7" s="22" customFormat="1" ht="15.75" x14ac:dyDescent="0.25">
      <c r="B3" s="264" t="s">
        <v>84</v>
      </c>
      <c r="C3" s="264"/>
    </row>
    <row r="4" spans="2:7" x14ac:dyDescent="0.25">
      <c r="B4" s="15"/>
      <c r="C4" s="24" t="s">
        <v>85</v>
      </c>
      <c r="D4" s="28" t="s">
        <v>196</v>
      </c>
      <c r="E4" s="28" t="s">
        <v>173</v>
      </c>
      <c r="F4" s="28" t="s">
        <v>205</v>
      </c>
      <c r="G4" s="28" t="s">
        <v>2</v>
      </c>
    </row>
    <row r="5" spans="2:7" ht="77.25" customHeight="1" x14ac:dyDescent="0.25">
      <c r="B5" s="6" t="s">
        <v>87</v>
      </c>
      <c r="C5" s="20" t="s">
        <v>88</v>
      </c>
      <c r="D5" s="162" t="s">
        <v>210</v>
      </c>
      <c r="E5" s="162" t="s">
        <v>211</v>
      </c>
      <c r="F5" s="9" t="s">
        <v>230</v>
      </c>
      <c r="G5" s="9" t="s">
        <v>241</v>
      </c>
    </row>
    <row r="6" spans="2:7" ht="28.5" x14ac:dyDescent="0.25">
      <c r="B6" s="226" t="s">
        <v>197</v>
      </c>
      <c r="C6" s="82">
        <f>SUM(C7:C8)</f>
        <v>1214558.1200000001</v>
      </c>
      <c r="D6" s="82">
        <f>SUM(D7:D8)</f>
        <v>340983.74000000034</v>
      </c>
      <c r="E6" s="82">
        <f>SUM(E7:E8)</f>
        <v>210295.34999999986</v>
      </c>
      <c r="F6" s="82">
        <f>SUM(F7:F8)</f>
        <v>347841.06999999995</v>
      </c>
      <c r="G6" s="82">
        <f>SUM(G7:G8)</f>
        <v>315437.95999999985</v>
      </c>
    </row>
    <row r="7" spans="2:7" ht="30" x14ac:dyDescent="0.25">
      <c r="B7" s="227" t="s">
        <v>199</v>
      </c>
      <c r="C7" s="21">
        <f>SUM(D7:G7)</f>
        <v>461630.28</v>
      </c>
      <c r="D7" s="83">
        <v>101273</v>
      </c>
      <c r="E7" s="83">
        <v>56701.39</v>
      </c>
      <c r="F7" s="230">
        <f>24010.49+173893.4</f>
        <v>197903.88999999998</v>
      </c>
      <c r="G7" s="230">
        <v>105752</v>
      </c>
    </row>
    <row r="8" spans="2:7" ht="30" x14ac:dyDescent="0.25">
      <c r="B8" s="227" t="s">
        <v>200</v>
      </c>
      <c r="C8" s="21">
        <f>SUM(D8:G8)</f>
        <v>752927.84</v>
      </c>
      <c r="D8" s="83">
        <v>239710.74000000031</v>
      </c>
      <c r="E8" s="83">
        <v>153593.95999999988</v>
      </c>
      <c r="F8" s="230">
        <v>149937.18</v>
      </c>
      <c r="G8" s="230">
        <v>209685.95999999988</v>
      </c>
    </row>
    <row r="9" spans="2:7" ht="21" customHeight="1" x14ac:dyDescent="0.25">
      <c r="B9" s="2"/>
      <c r="C9" s="2"/>
      <c r="D9" s="175"/>
      <c r="E9" s="175"/>
      <c r="F9" s="3"/>
    </row>
    <row r="10" spans="2:7" ht="30" hidden="1" x14ac:dyDescent="0.25">
      <c r="B10" s="30" t="s">
        <v>99</v>
      </c>
      <c r="D10" s="85"/>
      <c r="E10" s="85"/>
    </row>
  </sheetData>
  <mergeCells count="1">
    <mergeCell ref="B3:C3"/>
  </mergeCells>
  <pageMargins left="0.11811023622047245" right="0.11811023622047245" top="0.15748031496062992" bottom="0.35433070866141736" header="0.31496062992125984" footer="0.31496062992125984"/>
  <pageSetup paperSize="9" scale="70" fitToHeight="0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kopā</vt:lpstr>
      <vt:lpstr>Ārstniecība</vt:lpstr>
      <vt:lpstr>Laboratorijas</vt:lpstr>
      <vt:lpstr>Vakcinacija</vt:lpstr>
      <vt:lpstr>Piemaksas</vt:lpstr>
      <vt:lpstr>Virsstundas</vt:lpstr>
      <vt:lpstr>Iekārtas</vt:lpstr>
      <vt:lpstr>observācija + IT</vt:lpstr>
      <vt:lpstr>Post_rehab</vt:lpstr>
      <vt:lpstr>Iekārtas!Print_Titles</vt:lpstr>
      <vt:lpstr>Piemaksas!Print_Titles</vt:lpstr>
      <vt:lpstr>Post_rehab!Print_Titles</vt:lpstr>
      <vt:lpstr>Virsstundas!Print_Titles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Zandovska</dc:creator>
  <cp:keywords/>
  <dc:description/>
  <cp:lastModifiedBy>Baiba Dreimane</cp:lastModifiedBy>
  <cp:revision/>
  <cp:lastPrinted>2021-10-29T09:46:52Z</cp:lastPrinted>
  <dcterms:created xsi:type="dcterms:W3CDTF">2021-04-07T17:50:06Z</dcterms:created>
  <dcterms:modified xsi:type="dcterms:W3CDTF">2021-12-20T07:22:39Z</dcterms:modified>
  <cp:category/>
  <cp:contentStatus/>
</cp:coreProperties>
</file>